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300" windowWidth="18735" windowHeight="11700" firstSheet="1" activeTab="2"/>
  </bookViews>
  <sheets>
    <sheet name="Início" sheetId="1" r:id="rId1"/>
    <sheet name="Dados de Entrada" sheetId="2" r:id="rId2"/>
    <sheet name="MemóriaCalc" sheetId="3" r:id="rId3"/>
    <sheet name="Aoki-Velloso" sheetId="4" r:id="rId4"/>
    <sheet name="Décourt-Quaresma" sheetId="5" r:id="rId5"/>
    <sheet name="Teixeira" sheetId="6" r:id="rId6"/>
    <sheet name="Final" sheetId="7" r:id="rId7"/>
    <sheet name="Auxilio" sheetId="8" r:id="rId8"/>
    <sheet name="Tab-Métodos" sheetId="9" r:id="rId9"/>
    <sheet name="Tutorial" sheetId="10" r:id="rId10"/>
  </sheets>
  <definedNames>
    <definedName name="ESTACA">'MemóriaCalc'!$P$3:$Q$13</definedName>
    <definedName name="solo">'MemóriaCalc'!$L$1:$N$15</definedName>
  </definedNames>
  <calcPr fullCalcOnLoad="1"/>
</workbook>
</file>

<file path=xl/comments2.xml><?xml version="1.0" encoding="utf-8"?>
<comments xmlns="http://schemas.openxmlformats.org/spreadsheetml/2006/main">
  <authors>
    <author>Autor</author>
  </authors>
  <commentList>
    <comment ref="M3" authorId="0">
      <text>
        <r>
          <rPr>
            <b/>
            <sz val="9"/>
            <rFont val="Tahoma"/>
            <family val="2"/>
          </rPr>
          <t>Inserir um diâmetro comercial de acordo com a tabela de auxílio</t>
        </r>
      </text>
    </comment>
    <comment ref="M8" authorId="0">
      <text>
        <r>
          <rPr>
            <b/>
            <sz val="9"/>
            <rFont val="Tahoma"/>
            <family val="2"/>
          </rPr>
          <t>Área a ser utilizada nos métodos semiempíricos</t>
        </r>
      </text>
    </comment>
    <comment ref="N8" authorId="0">
      <text>
        <r>
          <rPr>
            <b/>
            <sz val="9"/>
            <rFont val="Tahoma"/>
            <family val="2"/>
          </rPr>
          <t>Perímetro a ser utilizado nos métodos semiempíricos</t>
        </r>
      </text>
    </comment>
    <comment ref="B2" authorId="0">
      <text>
        <r>
          <rPr>
            <b/>
            <sz val="9"/>
            <rFont val="Tahoma"/>
            <family val="2"/>
          </rPr>
          <t>Devem ser Inseridos Valores até dois metros Abaixo da cota de apoio da estaca.</t>
        </r>
      </text>
    </comment>
    <comment ref="N2" authorId="0">
      <text>
        <r>
          <rPr>
            <b/>
            <sz val="9"/>
            <rFont val="Tahoma"/>
            <family val="2"/>
          </rPr>
          <t>Cota de apoio (prevista) para a Estaca.</t>
        </r>
      </text>
    </comment>
    <comment ref="E1" authorId="0">
      <text>
        <r>
          <rPr>
            <b/>
            <sz val="9"/>
            <rFont val="Tahoma"/>
            <family val="2"/>
          </rPr>
          <t>Nível de água obtido no SPT</t>
        </r>
      </text>
    </comment>
    <comment ref="K2" authorId="0">
      <text>
        <r>
          <rPr>
            <b/>
            <sz val="9"/>
            <rFont val="Tahoma"/>
            <family val="2"/>
          </rPr>
          <t>Processo pelo qual a estaca será executada</t>
        </r>
      </text>
    </comment>
    <comment ref="K12" authorId="0">
      <text>
        <r>
          <rPr>
            <b/>
            <sz val="9"/>
            <rFont val="Tahoma"/>
            <family val="2"/>
          </rPr>
          <t>Todos os métodos deverão ser avaliados e configurados de acordo com valores orientativos da 
NBR-6122</t>
        </r>
      </text>
    </comment>
  </commentList>
</comments>
</file>

<file path=xl/comments4.xml><?xml version="1.0" encoding="utf-8"?>
<comments xmlns="http://schemas.openxmlformats.org/spreadsheetml/2006/main">
  <authors>
    <author>Autor</author>
  </authors>
  <commentList>
    <comment ref="H3" authorId="0">
      <text>
        <r>
          <rPr>
            <b/>
            <sz val="9"/>
            <rFont val="Tahoma"/>
            <family val="2"/>
          </rPr>
          <t>O valor recomendável é 2.</t>
        </r>
      </text>
    </comment>
  </commentList>
</comments>
</file>

<file path=xl/comments5.xml><?xml version="1.0" encoding="utf-8"?>
<comments xmlns="http://schemas.openxmlformats.org/spreadsheetml/2006/main">
  <authors>
    <author>Autor</author>
  </authors>
  <commentList>
    <comment ref="C11" authorId="0">
      <text>
        <r>
          <rPr>
            <b/>
            <sz val="9"/>
            <rFont val="Tahoma"/>
            <family val="2"/>
          </rPr>
          <t xml:space="preserve">Valor médio do índice de resistencia à penetração ao longo do fuste desconsiderando os 3 ultimos valores </t>
        </r>
      </text>
    </comment>
    <comment ref="B7" authorId="0">
      <text>
        <r>
          <rPr>
            <b/>
            <sz val="9"/>
            <rFont val="Tahoma"/>
            <family val="2"/>
          </rPr>
          <t>Coeficiente característico do solo
Tipo de solo          C (kPa)
Argila.......................120
Silte argiloso............200
Silte arenoso............250
Areia........................400</t>
        </r>
      </text>
    </comment>
    <comment ref="E7" authorId="0">
      <text>
        <r>
          <rPr>
            <sz val="9"/>
            <rFont val="Tahoma"/>
            <family val="2"/>
          </rPr>
          <t xml:space="preserve">
</t>
        </r>
        <r>
          <rPr>
            <b/>
            <sz val="9"/>
            <rFont val="Tahoma"/>
            <family val="2"/>
          </rPr>
          <t xml:space="preserve">Valor do fator </t>
        </r>
        <r>
          <rPr>
            <b/>
            <sz val="9"/>
            <rFont val="Calibri"/>
            <family val="2"/>
          </rPr>
          <t>α</t>
        </r>
        <r>
          <rPr>
            <b/>
            <sz val="9"/>
            <rFont val="Tahoma"/>
            <family val="2"/>
          </rPr>
          <t xml:space="preserve"> em função do Solo e Estaca
</t>
        </r>
        <r>
          <rPr>
            <b/>
            <i/>
            <u val="single"/>
            <sz val="9"/>
            <rFont val="Tahoma"/>
            <family val="2"/>
          </rPr>
          <t>ARGILAS</t>
        </r>
        <r>
          <rPr>
            <b/>
            <sz val="9"/>
            <rFont val="Tahoma"/>
            <family val="2"/>
          </rPr>
          <t xml:space="preserve">
Tipo de Estaca                       </t>
        </r>
        <r>
          <rPr>
            <b/>
            <sz val="9"/>
            <rFont val="Calibri"/>
            <family val="2"/>
          </rPr>
          <t>α</t>
        </r>
        <r>
          <rPr>
            <b/>
            <sz val="9"/>
            <rFont val="Tahoma"/>
            <family val="2"/>
          </rPr>
          <t xml:space="preserve"> (%)
</t>
        </r>
        <r>
          <rPr>
            <sz val="9"/>
            <rFont val="Tahoma"/>
            <family val="2"/>
          </rPr>
          <t xml:space="preserve">Escavada em geral .................... 85  
Escavada (bentonita) ................ 85  
 Hélice Contínua ........................ 30   
Raiz ........................................ 85  
 Injetada sob altas pressões ........ 100  
Pré-moldadas; metálicas; Franki ... 100 
</t>
        </r>
        <r>
          <rPr>
            <b/>
            <i/>
            <u val="single"/>
            <sz val="9"/>
            <rFont val="Tahoma"/>
            <family val="2"/>
          </rPr>
          <t>SOLOS INTERMEDIÁRIOS</t>
        </r>
        <r>
          <rPr>
            <b/>
            <sz val="9"/>
            <rFont val="Tahoma"/>
            <family val="2"/>
          </rPr>
          <t xml:space="preserve">
Tipo de Estaca                       </t>
        </r>
        <r>
          <rPr>
            <b/>
            <sz val="9"/>
            <rFont val="Calibri"/>
            <family val="2"/>
          </rPr>
          <t>α</t>
        </r>
        <r>
          <rPr>
            <b/>
            <sz val="9"/>
            <rFont val="Tahoma"/>
            <family val="2"/>
          </rPr>
          <t xml:space="preserve"> (%)
</t>
        </r>
        <r>
          <rPr>
            <sz val="9"/>
            <rFont val="Tahoma"/>
            <family val="2"/>
          </rPr>
          <t xml:space="preserve">Escavada em geral .................... 60  
Escavada (bentonita) ................ 60  
 Hélice Contínua ........................ 30   
Raiz ........................................ 60  
 Injetada sob altas pressões ........ 100  
Pré-moldadas; metálicas; Franki ... 100 
</t>
        </r>
        <r>
          <rPr>
            <b/>
            <i/>
            <u val="single"/>
            <sz val="9"/>
            <rFont val="Tahoma"/>
            <family val="2"/>
          </rPr>
          <t>AREIAS</t>
        </r>
        <r>
          <rPr>
            <b/>
            <sz val="9"/>
            <rFont val="Tahoma"/>
            <family val="2"/>
          </rPr>
          <t xml:space="preserve">
Tipo de Estaca                       </t>
        </r>
        <r>
          <rPr>
            <b/>
            <sz val="9"/>
            <rFont val="Calibri"/>
            <family val="2"/>
          </rPr>
          <t>α</t>
        </r>
        <r>
          <rPr>
            <b/>
            <sz val="9"/>
            <rFont val="Tahoma"/>
            <family val="2"/>
          </rPr>
          <t xml:space="preserve"> (%)
</t>
        </r>
        <r>
          <rPr>
            <sz val="9"/>
            <rFont val="Tahoma"/>
            <family val="2"/>
          </rPr>
          <t xml:space="preserve">Escavada em geral .................... 50  
Escavada (bentonita) ................ 50  
 Hélice Contínua ........................ 30   
Raiz ........................................ 50  
 Injetada sob altas pressões ........ 100  
Pré-moldadas; metálicas; Franki ... 100 </t>
        </r>
      </text>
    </comment>
    <comment ref="G7" authorId="0">
      <text>
        <r>
          <rPr>
            <b/>
            <sz val="9"/>
            <rFont val="Tahoma"/>
            <family val="2"/>
          </rPr>
          <t xml:space="preserve">
Valor do fator </t>
        </r>
        <r>
          <rPr>
            <b/>
            <sz val="9"/>
            <rFont val="Calibri"/>
            <family val="2"/>
          </rPr>
          <t>β</t>
        </r>
        <r>
          <rPr>
            <b/>
            <sz val="9"/>
            <rFont val="Tahoma"/>
            <family val="2"/>
          </rPr>
          <t xml:space="preserve"> em função do Solo e Estaca
</t>
        </r>
        <r>
          <rPr>
            <b/>
            <i/>
            <u val="single"/>
            <sz val="9"/>
            <rFont val="Tahoma"/>
            <family val="2"/>
          </rPr>
          <t>ARGILAS</t>
        </r>
        <r>
          <rPr>
            <b/>
            <sz val="9"/>
            <rFont val="Tahoma"/>
            <family val="2"/>
          </rPr>
          <t xml:space="preserve">
Tipo de Estaca                       </t>
        </r>
        <r>
          <rPr>
            <b/>
            <sz val="9"/>
            <rFont val="Calibri"/>
            <family val="2"/>
          </rPr>
          <t>β</t>
        </r>
        <r>
          <rPr>
            <b/>
            <sz val="9"/>
            <rFont val="Tahoma"/>
            <family val="2"/>
          </rPr>
          <t xml:space="preserve"> (%)
</t>
        </r>
        <r>
          <rPr>
            <sz val="9"/>
            <rFont val="Tahoma"/>
            <family val="2"/>
          </rPr>
          <t xml:space="preserve">Escavada em geral .................... 80  
Escavada (bentonita) ................ 90  
  Hélice Contínua ........................ 100   
 Raiz ........................................ 150  
 Injetada sob altas pressões ........ 300  
Pré-moldadas; metálicas; Franki ... 100 
</t>
        </r>
        <r>
          <rPr>
            <b/>
            <sz val="9"/>
            <rFont val="Tahoma"/>
            <family val="2"/>
          </rPr>
          <t xml:space="preserve">
</t>
        </r>
        <r>
          <rPr>
            <b/>
            <i/>
            <u val="single"/>
            <sz val="9"/>
            <rFont val="Tahoma"/>
            <family val="2"/>
          </rPr>
          <t>SOLOS INTERMEDIÁRIOS</t>
        </r>
        <r>
          <rPr>
            <b/>
            <sz val="9"/>
            <rFont val="Tahoma"/>
            <family val="2"/>
          </rPr>
          <t xml:space="preserve">
Tipo de Estaca                       </t>
        </r>
        <r>
          <rPr>
            <b/>
            <sz val="9"/>
            <rFont val="Calibri"/>
            <family val="2"/>
          </rPr>
          <t>β</t>
        </r>
        <r>
          <rPr>
            <b/>
            <sz val="9"/>
            <rFont val="Tahoma"/>
            <family val="2"/>
          </rPr>
          <t xml:space="preserve"> (%)</t>
        </r>
        <r>
          <rPr>
            <sz val="9"/>
            <rFont val="Tahoma"/>
            <family val="2"/>
          </rPr>
          <t xml:space="preserve">
Escavada em geral .................... 65  
Escavada (bentonita) ................ 75  
  Hélice Contínua ........................ 100   
 Raiz ........................................ 150  
 Injetada sob altas pressões ........ 300  
Pré-moldadas; metálicas; Franki ... 100 
</t>
        </r>
        <r>
          <rPr>
            <b/>
            <sz val="9"/>
            <rFont val="Tahoma"/>
            <family val="2"/>
          </rPr>
          <t xml:space="preserve">
</t>
        </r>
        <r>
          <rPr>
            <b/>
            <i/>
            <u val="single"/>
            <sz val="9"/>
            <rFont val="Tahoma"/>
            <family val="2"/>
          </rPr>
          <t>AREIAS</t>
        </r>
        <r>
          <rPr>
            <b/>
            <sz val="9"/>
            <rFont val="Tahoma"/>
            <family val="2"/>
          </rPr>
          <t xml:space="preserve">
Tipo de Estaca                       </t>
        </r>
        <r>
          <rPr>
            <b/>
            <sz val="9"/>
            <rFont val="Calibri"/>
            <family val="2"/>
          </rPr>
          <t>β</t>
        </r>
        <r>
          <rPr>
            <b/>
            <sz val="9"/>
            <rFont val="Tahoma"/>
            <family val="2"/>
          </rPr>
          <t xml:space="preserve"> (%)
</t>
        </r>
        <r>
          <rPr>
            <sz val="9"/>
            <rFont val="Tahoma"/>
            <family val="2"/>
          </rPr>
          <t xml:space="preserve">Escavada em geral .................... 50  
Escavada (bentonita) ................ 60  
  Hélice Contínua ........................ 100   
 Raiz ........................................ 150  
 Injetada sob altas pressões ........ 300  
Pré-moldadas; metálicas; Franki ... 100 </t>
        </r>
      </text>
    </comment>
    <comment ref="E11" authorId="0">
      <text>
        <r>
          <rPr>
            <b/>
            <sz val="9"/>
            <rFont val="Tahoma"/>
            <family val="2"/>
          </rPr>
          <t>Resistência de Ponta na Camada</t>
        </r>
      </text>
    </comment>
    <comment ref="F11" authorId="0">
      <text>
        <r>
          <rPr>
            <b/>
            <sz val="9"/>
            <rFont val="Tahoma"/>
            <family val="2"/>
          </rPr>
          <t>Resitência lateral por metro linear</t>
        </r>
      </text>
    </comment>
    <comment ref="B11" authorId="0">
      <text>
        <r>
          <rPr>
            <b/>
            <sz val="9"/>
            <rFont val="Tahoma"/>
            <family val="2"/>
          </rPr>
          <t xml:space="preserve">Média dos 3 valores do índice de resistencia à penetração:
 cota de apoio da estaca;
iediatamente superior;
imediatamente inferior. </t>
        </r>
      </text>
    </comment>
    <comment ref="J10" authorId="0">
      <text>
        <r>
          <rPr>
            <b/>
            <sz val="9"/>
            <rFont val="Tahoma"/>
            <family val="2"/>
          </rPr>
          <t>A Carga admissível será o menor entre os dois valores.</t>
        </r>
      </text>
    </comment>
    <comment ref="B8" authorId="0">
      <text>
        <r>
          <rPr>
            <b/>
            <sz val="9"/>
            <rFont val="Tahoma"/>
            <family val="2"/>
          </rPr>
          <t>Devido as limitações de  parâmetros do método, os valores são baseados em areai, silte argiloso, silte  arenoso e argila. Ou seja, uma areia argilosa será areia, uma argila arenosa será argila e assim por diante.</t>
        </r>
      </text>
    </comment>
  </commentList>
</comments>
</file>

<file path=xl/comments6.xml><?xml version="1.0" encoding="utf-8"?>
<comments xmlns="http://schemas.openxmlformats.org/spreadsheetml/2006/main">
  <authors>
    <author>Autor</author>
  </authors>
  <commentList>
    <comment ref="B9" authorId="0">
      <text>
        <r>
          <rPr>
            <b/>
            <sz val="9"/>
            <rFont val="Tahoma"/>
            <family val="2"/>
          </rPr>
          <t xml:space="preserve">Valor médio do SPT medido no intervalo de 4 diametros acima e 1 diametro abaixo da ponta. </t>
        </r>
      </text>
    </comment>
    <comment ref="C9" authorId="0">
      <text>
        <r>
          <rPr>
            <b/>
            <sz val="9"/>
            <rFont val="Tahoma"/>
            <family val="2"/>
          </rPr>
          <t>Valor médio do índice de resistencia à penetração ao longo do fuste.</t>
        </r>
      </text>
    </comment>
    <comment ref="F9" authorId="0">
      <text>
        <r>
          <rPr>
            <b/>
            <sz val="9"/>
            <rFont val="Tahoma"/>
            <family val="2"/>
          </rPr>
          <t>Resistência de Ponta na Camada</t>
        </r>
      </text>
    </comment>
    <comment ref="G9" authorId="0">
      <text>
        <r>
          <rPr>
            <b/>
            <sz val="9"/>
            <rFont val="Tahoma"/>
            <family val="2"/>
          </rPr>
          <t>Resitência lateral por metro linear</t>
        </r>
      </text>
    </comment>
    <comment ref="D9" authorId="0">
      <text>
        <r>
          <rPr>
            <b/>
            <sz val="9"/>
            <rFont val="Tahoma"/>
            <family val="2"/>
          </rPr>
          <t>Parâmetro de resistência de Ponta</t>
        </r>
      </text>
    </comment>
    <comment ref="E9" authorId="0">
      <text>
        <r>
          <rPr>
            <b/>
            <sz val="9"/>
            <rFont val="Tahoma"/>
            <family val="2"/>
          </rPr>
          <t>Parâmetro de Resistência Lateral</t>
        </r>
      </text>
    </comment>
  </commentList>
</comments>
</file>

<file path=xl/comments8.xml><?xml version="1.0" encoding="utf-8"?>
<comments xmlns="http://schemas.openxmlformats.org/spreadsheetml/2006/main">
  <authors>
    <author>Autor</author>
  </authors>
  <commentList>
    <comment ref="L3" authorId="0">
      <text>
        <r>
          <rPr>
            <b/>
            <sz val="9"/>
            <rFont val="Tahoma"/>
            <family val="2"/>
          </rPr>
          <t>Esse valor deve ser inserido no campo de área da estaca</t>
        </r>
      </text>
    </comment>
    <comment ref="M3" authorId="0">
      <text>
        <r>
          <rPr>
            <b/>
            <sz val="9"/>
            <rFont val="Tahoma"/>
            <family val="2"/>
          </rPr>
          <t>Esse valor deve ser inserido no campo de perímetro da estaca</t>
        </r>
      </text>
    </comment>
  </commentList>
</comments>
</file>

<file path=xl/sharedStrings.xml><?xml version="1.0" encoding="utf-8"?>
<sst xmlns="http://schemas.openxmlformats.org/spreadsheetml/2006/main" count="589" uniqueCount="322">
  <si>
    <t>Tobias Ribeiro Ferreira</t>
  </si>
  <si>
    <t>tobias.trf@hotmail.com</t>
  </si>
  <si>
    <t>Orientador</t>
  </si>
  <si>
    <t>Rodrigo Gustavo Delalibera</t>
  </si>
  <si>
    <t>delalibera.r.g@engcivilufgcac.com.br</t>
  </si>
  <si>
    <t>Previsão da Capacidade de Carga em Fundações por Estacas</t>
  </si>
  <si>
    <t>Aluno de Iniciação Científica</t>
  </si>
  <si>
    <t>SONDAGEM</t>
  </si>
  <si>
    <t>Profundidade (m)</t>
  </si>
  <si>
    <r>
      <t>N</t>
    </r>
    <r>
      <rPr>
        <b/>
        <vertAlign val="subscript"/>
        <sz val="11"/>
        <color indexed="8"/>
        <rFont val="Calibri"/>
        <family val="2"/>
      </rPr>
      <t>SPT</t>
    </r>
  </si>
  <si>
    <t>Composição da Camada</t>
  </si>
  <si>
    <t>Solo</t>
  </si>
  <si>
    <t>K (MPa)</t>
  </si>
  <si>
    <t>Areia</t>
  </si>
  <si>
    <t>Areia siltosa</t>
  </si>
  <si>
    <t>Areia siltoargilosa</t>
  </si>
  <si>
    <t>Areia argilosa</t>
  </si>
  <si>
    <t>Areia argilossiltosa</t>
  </si>
  <si>
    <t>Silte</t>
  </si>
  <si>
    <t>Silte arenoso</t>
  </si>
  <si>
    <t>Silte arenoargiloso</t>
  </si>
  <si>
    <t>Silte argiloso</t>
  </si>
  <si>
    <t>Silte argiloarenoso</t>
  </si>
  <si>
    <t>Argila</t>
  </si>
  <si>
    <t>Argila arenosa</t>
  </si>
  <si>
    <t>Argila arenossiltosa</t>
  </si>
  <si>
    <t>Argila siltosa</t>
  </si>
  <si>
    <t>Argila siltoarenosa</t>
  </si>
  <si>
    <r>
      <rPr>
        <b/>
        <sz val="11"/>
        <color indexed="8"/>
        <rFont val="Symbol"/>
        <family val="1"/>
      </rPr>
      <t>a</t>
    </r>
    <r>
      <rPr>
        <b/>
        <sz val="11"/>
        <color indexed="8"/>
        <rFont val="Calibri"/>
        <family val="2"/>
      </rPr>
      <t xml:space="preserve"> (%)</t>
    </r>
  </si>
  <si>
    <t>Diâmetro (cm)</t>
  </si>
  <si>
    <t>DADOS DA ESTACA</t>
  </si>
  <si>
    <t>Estaca Pré-Moldada</t>
  </si>
  <si>
    <t>Tipo de Estaca</t>
  </si>
  <si>
    <t>Ø 22 cm</t>
  </si>
  <si>
    <t>Ø 29 cm</t>
  </si>
  <si>
    <t>Ø 33 cm</t>
  </si>
  <si>
    <t>Ø 20 cm</t>
  </si>
  <si>
    <t>Ø 23 cm</t>
  </si>
  <si>
    <t>Ø 26 cm</t>
  </si>
  <si>
    <t>Ø 38 cm</t>
  </si>
  <si>
    <t>Ø 42 cm</t>
  </si>
  <si>
    <t>Ø 50 cm</t>
  </si>
  <si>
    <t>Ø 60 cm</t>
  </si>
  <si>
    <t>Ø 70 cm</t>
  </si>
  <si>
    <t>Ø 25 cm</t>
  </si>
  <si>
    <t>Ø 30 cm</t>
  </si>
  <si>
    <t>Ø 35 cm</t>
  </si>
  <si>
    <t>Ø 40 cm</t>
  </si>
  <si>
    <t>Estaca Moldada In-Loco</t>
  </si>
  <si>
    <t>Ø 32 cm</t>
  </si>
  <si>
    <t>Ø 45 cm</t>
  </si>
  <si>
    <t>Ø 80 cm</t>
  </si>
  <si>
    <t>Ø 100 cm</t>
  </si>
  <si>
    <t>Ø 120 cm</t>
  </si>
  <si>
    <t>Ø 140 cm</t>
  </si>
  <si>
    <t>Ø 160 cm</t>
  </si>
  <si>
    <t>Ø 180 cm</t>
  </si>
  <si>
    <t>Ø 200 cm</t>
  </si>
  <si>
    <t>Vibrada Concreto</t>
  </si>
  <si>
    <t>Centrifugada Concreto</t>
  </si>
  <si>
    <t>Madeira</t>
  </si>
  <si>
    <t>Strauss</t>
  </si>
  <si>
    <t>Escavada</t>
  </si>
  <si>
    <t>Estacão</t>
  </si>
  <si>
    <t>Ø 52 cm</t>
  </si>
  <si>
    <t>Apiloada</t>
  </si>
  <si>
    <t>Franki</t>
  </si>
  <si>
    <t>Ø 10 cm</t>
  </si>
  <si>
    <t>Raiz</t>
  </si>
  <si>
    <t>Ø 12 cm</t>
  </si>
  <si>
    <t>Hélice Contínua</t>
  </si>
  <si>
    <t>Ø 15 cm</t>
  </si>
  <si>
    <t>Ø 31 cm</t>
  </si>
  <si>
    <t>Ø 27,5 cm</t>
  </si>
  <si>
    <t>Ø 90 cm</t>
  </si>
  <si>
    <t>Moldagem</t>
  </si>
  <si>
    <t>Tipo</t>
  </si>
  <si>
    <t>Pré-Moldada</t>
  </si>
  <si>
    <t>Moldada In-Loco</t>
  </si>
  <si>
    <t>Método de Cálculo</t>
  </si>
  <si>
    <t>-</t>
  </si>
  <si>
    <t>Fatores de correção F, e F2</t>
  </si>
  <si>
    <t>Tipo de estaca</t>
  </si>
  <si>
    <t>F1</t>
  </si>
  <si>
    <t>F2</t>
  </si>
  <si>
    <t>Metálica</t>
  </si>
  <si>
    <t>Pré-moldada</t>
  </si>
  <si>
    <r>
      <t xml:space="preserve">Coeficiente K e razão de atrito </t>
    </r>
    <r>
      <rPr>
        <b/>
        <sz val="11"/>
        <color indexed="8"/>
        <rFont val="Calibri"/>
        <family val="2"/>
      </rPr>
      <t>α</t>
    </r>
  </si>
  <si>
    <t>Raiz,Hélice Contínua, Ômega</t>
  </si>
  <si>
    <t>Estaca</t>
  </si>
  <si>
    <t>Comprimento (m)</t>
  </si>
  <si>
    <t>RESULTADOS</t>
  </si>
  <si>
    <r>
      <t>R</t>
    </r>
    <r>
      <rPr>
        <b/>
        <vertAlign val="subscript"/>
        <sz val="11"/>
        <color indexed="8"/>
        <rFont val="Calibri"/>
        <family val="2"/>
      </rPr>
      <t>L acumlada</t>
    </r>
    <r>
      <rPr>
        <b/>
        <sz val="11"/>
        <color indexed="8"/>
        <rFont val="Calibri"/>
        <family val="2"/>
      </rPr>
      <t xml:space="preserve"> (kN)</t>
    </r>
  </si>
  <si>
    <r>
      <t xml:space="preserve">R </t>
    </r>
    <r>
      <rPr>
        <b/>
        <vertAlign val="subscript"/>
        <sz val="11"/>
        <color indexed="8"/>
        <rFont val="Calibri"/>
        <family val="2"/>
      </rPr>
      <t>P na camada</t>
    </r>
    <r>
      <rPr>
        <b/>
        <sz val="11"/>
        <color indexed="8"/>
        <rFont val="Calibri"/>
        <family val="2"/>
      </rPr>
      <t xml:space="preserve"> (kN)</t>
    </r>
  </si>
  <si>
    <r>
      <t xml:space="preserve">R </t>
    </r>
    <r>
      <rPr>
        <b/>
        <vertAlign val="subscript"/>
        <sz val="11"/>
        <color indexed="8"/>
        <rFont val="Calibri"/>
        <family val="2"/>
      </rPr>
      <t>Total do solo</t>
    </r>
    <r>
      <rPr>
        <b/>
        <sz val="11"/>
        <color indexed="8"/>
        <rFont val="Calibri"/>
        <family val="2"/>
      </rPr>
      <t xml:space="preserve"> (kN)</t>
    </r>
  </si>
  <si>
    <t>Dados do Cálculo</t>
  </si>
  <si>
    <r>
      <t>A</t>
    </r>
    <r>
      <rPr>
        <b/>
        <vertAlign val="subscript"/>
        <sz val="11"/>
        <color indexed="8"/>
        <rFont val="Calibri"/>
        <family val="2"/>
      </rPr>
      <t>seção</t>
    </r>
    <r>
      <rPr>
        <b/>
        <sz val="11"/>
        <color indexed="8"/>
        <rFont val="Calibri"/>
        <family val="2"/>
      </rPr>
      <t xml:space="preserve"> (cm²)</t>
    </r>
  </si>
  <si>
    <t>Perímetro (cm)</t>
  </si>
  <si>
    <t>K (kPa)</t>
  </si>
  <si>
    <t>a</t>
  </si>
  <si>
    <t>F.S (Global)</t>
  </si>
  <si>
    <r>
      <t xml:space="preserve">P </t>
    </r>
    <r>
      <rPr>
        <b/>
        <vertAlign val="subscript"/>
        <sz val="11"/>
        <color indexed="8"/>
        <rFont val="Calibri"/>
        <family val="2"/>
      </rPr>
      <t>Adm</t>
    </r>
    <r>
      <rPr>
        <b/>
        <sz val="11"/>
        <color indexed="8"/>
        <rFont val="Calibri"/>
        <family val="2"/>
      </rPr>
      <t xml:space="preserve"> (kN)</t>
    </r>
  </si>
  <si>
    <r>
      <t>N</t>
    </r>
    <r>
      <rPr>
        <b/>
        <i/>
        <vertAlign val="subscript"/>
        <sz val="11"/>
        <color indexed="8"/>
        <rFont val="Calibri"/>
        <family val="2"/>
      </rPr>
      <t>L</t>
    </r>
  </si>
  <si>
    <r>
      <t>N</t>
    </r>
    <r>
      <rPr>
        <b/>
        <i/>
        <vertAlign val="subscript"/>
        <sz val="11"/>
        <color indexed="8"/>
        <rFont val="Calibri"/>
        <family val="2"/>
      </rPr>
      <t>p</t>
    </r>
  </si>
  <si>
    <t>Coeficiente característico do solo</t>
  </si>
  <si>
    <t>Tipo de solo</t>
  </si>
  <si>
    <t>C (kPa)</t>
  </si>
  <si>
    <t>Escavada em geral</t>
  </si>
  <si>
    <t>Escavada (betonita)</t>
  </si>
  <si>
    <r>
      <t xml:space="preserve">Valores do fator </t>
    </r>
    <r>
      <rPr>
        <b/>
        <i/>
        <sz val="11"/>
        <color indexed="8"/>
        <rFont val="Calibri"/>
        <family val="2"/>
      </rPr>
      <t>α em função do tipo de estaca e do tipo de solo</t>
    </r>
  </si>
  <si>
    <t>Hélice Continua</t>
  </si>
  <si>
    <t>Injetada</t>
  </si>
  <si>
    <t>Argilas</t>
  </si>
  <si>
    <t>Solos intermediarios</t>
  </si>
  <si>
    <t>Areias</t>
  </si>
  <si>
    <r>
      <t xml:space="preserve">Valores do fator </t>
    </r>
    <r>
      <rPr>
        <b/>
        <i/>
        <sz val="11"/>
        <color indexed="8"/>
        <rFont val="Calibri"/>
        <family val="2"/>
      </rPr>
      <t>β em função do tipo de estaca e do tipo de solo</t>
    </r>
  </si>
  <si>
    <r>
      <t xml:space="preserve">R </t>
    </r>
    <r>
      <rPr>
        <b/>
        <vertAlign val="subscript"/>
        <sz val="11"/>
        <color indexed="8"/>
        <rFont val="Calibri"/>
        <family val="2"/>
      </rPr>
      <t>Total</t>
    </r>
    <r>
      <rPr>
        <b/>
        <sz val="11"/>
        <color indexed="8"/>
        <rFont val="Calibri"/>
        <family val="2"/>
      </rPr>
      <t xml:space="preserve"> (kN)</t>
    </r>
  </si>
  <si>
    <t>Ap (m²)</t>
  </si>
  <si>
    <t>U (m)</t>
  </si>
  <si>
    <t>DADOS PARA CÁLCULO</t>
  </si>
  <si>
    <t>AJUSTES DO MÉTODO DÉCOURT-QUARESMA</t>
  </si>
  <si>
    <t>Coef. Solo (kPa)</t>
  </si>
  <si>
    <t>1+D/0,80</t>
  </si>
  <si>
    <t>2 F1</t>
  </si>
  <si>
    <t>Fonte: AOKI N., CINTRA J. C. (2010)</t>
  </si>
  <si>
    <r>
      <t xml:space="preserve">R </t>
    </r>
    <r>
      <rPr>
        <b/>
        <vertAlign val="subscript"/>
        <sz val="11"/>
        <color indexed="8"/>
        <rFont val="Calibri"/>
        <family val="2"/>
      </rPr>
      <t>P</t>
    </r>
    <r>
      <rPr>
        <b/>
        <sz val="11"/>
        <color indexed="8"/>
        <rFont val="Calibri"/>
        <family val="2"/>
      </rPr>
      <t xml:space="preserve"> (kN)</t>
    </r>
  </si>
  <si>
    <r>
      <t>R</t>
    </r>
    <r>
      <rPr>
        <b/>
        <vertAlign val="subscript"/>
        <sz val="11"/>
        <color indexed="8"/>
        <rFont val="Calibri"/>
        <family val="2"/>
      </rPr>
      <t>L</t>
    </r>
    <r>
      <rPr>
        <b/>
        <sz val="11"/>
        <color indexed="8"/>
        <rFont val="Calibri"/>
        <family val="2"/>
      </rPr>
      <t xml:space="preserve"> (kN)</t>
    </r>
  </si>
  <si>
    <t>2 &lt; SPT &lt; 16</t>
  </si>
  <si>
    <t>TR 25</t>
  </si>
  <si>
    <t>TR 32</t>
  </si>
  <si>
    <t>TR 37</t>
  </si>
  <si>
    <t>TR 45</t>
  </si>
  <si>
    <t>TR 50</t>
  </si>
  <si>
    <t>2 TR 32</t>
  </si>
  <si>
    <t>2 TR 37</t>
  </si>
  <si>
    <t>3 TR 32</t>
  </si>
  <si>
    <t>3 TR 37</t>
  </si>
  <si>
    <t>H 6”</t>
  </si>
  <si>
    <t>I 8”</t>
  </si>
  <si>
    <t>I 10”</t>
  </si>
  <si>
    <t>I 12”</t>
  </si>
  <si>
    <t>2 I 10”</t>
  </si>
  <si>
    <t>2 I 12”</t>
  </si>
  <si>
    <t>Tipo de perfil</t>
  </si>
  <si>
    <t>Tipo/Dimensão</t>
  </si>
  <si>
    <t>Carga nominal (kN)</t>
  </si>
  <si>
    <t>Estaca de madeira</t>
  </si>
  <si>
    <t>Estaca Metálica</t>
  </si>
  <si>
    <t>Perfis I e H (80,0 Mpa a 120,0 MPa)  descontar 1,5 mm para corrosão e aplicar</t>
  </si>
  <si>
    <t>Área para cálculo (cm²)</t>
  </si>
  <si>
    <t>Perímetro cálculo (cm)</t>
  </si>
  <si>
    <t>Tabelas de auxílio - Tabelas de auxílio - Tabelas de auxílio - Tabelas de auxílio - Tabelas de auxílio - Tabelas de auxílio - Tabelas de auxílio - Tabelas de auxílio</t>
  </si>
  <si>
    <t>Verificação</t>
  </si>
  <si>
    <t>R/2</t>
  </si>
  <si>
    <t>(Rl/1,3)+(Rp/4)</t>
  </si>
  <si>
    <t xml:space="preserve">% Resistência de ponta </t>
  </si>
  <si>
    <t xml:space="preserve">% Resistência lateral </t>
  </si>
  <si>
    <r>
      <t>R</t>
    </r>
    <r>
      <rPr>
        <b/>
        <vertAlign val="subscript"/>
        <sz val="11"/>
        <color indexed="8"/>
        <rFont val="Calibri"/>
        <family val="2"/>
      </rPr>
      <t>L por metro</t>
    </r>
    <r>
      <rPr>
        <b/>
        <sz val="11"/>
        <color indexed="8"/>
        <rFont val="Calibri"/>
        <family val="2"/>
      </rPr>
      <t xml:space="preserve"> (kN)</t>
    </r>
  </si>
  <si>
    <t>Comp. (m)</t>
  </si>
  <si>
    <r>
      <t xml:space="preserve">P </t>
    </r>
    <r>
      <rPr>
        <b/>
        <vertAlign val="subscript"/>
        <sz val="11"/>
        <rFont val="Calibri"/>
        <family val="2"/>
      </rPr>
      <t>Adm</t>
    </r>
    <r>
      <rPr>
        <b/>
        <sz val="11"/>
        <rFont val="Calibri"/>
        <family val="2"/>
      </rPr>
      <t xml:space="preserve"> (kN)</t>
    </r>
  </si>
  <si>
    <t>Décourt-Quaresma</t>
  </si>
  <si>
    <t>Teixeira</t>
  </si>
  <si>
    <t>Np</t>
  </si>
  <si>
    <t>Nl</t>
  </si>
  <si>
    <t>Solo (4 &lt; SPT &lt; 40)</t>
  </si>
  <si>
    <t>4 &lt; SPT &lt; 40</t>
  </si>
  <si>
    <t>α</t>
  </si>
  <si>
    <t>Parâmetro α (kPa) (Resistência de ponta)</t>
  </si>
  <si>
    <t>β (kPa)</t>
  </si>
  <si>
    <t>β</t>
  </si>
  <si>
    <t>solo</t>
  </si>
  <si>
    <t>Aoki-Velloso</t>
  </si>
  <si>
    <t>Areia siltoargilosa*</t>
  </si>
  <si>
    <t>Vib. Concreto**</t>
  </si>
  <si>
    <t>Centrif. Conc.**</t>
  </si>
  <si>
    <t>Madeira**</t>
  </si>
  <si>
    <t>Strauss**</t>
  </si>
  <si>
    <t>Estacão**</t>
  </si>
  <si>
    <t>Apiloada**</t>
  </si>
  <si>
    <t>Hélice Contínua**</t>
  </si>
  <si>
    <t>Areia argilossiltosa*</t>
  </si>
  <si>
    <t>Silte arenoargiloso*</t>
  </si>
  <si>
    <t>Silte argiloarenoso*</t>
  </si>
  <si>
    <t>Argila arenossiltosa*</t>
  </si>
  <si>
    <t>Argila siltoarenosa*</t>
  </si>
  <si>
    <t>Silte*</t>
  </si>
  <si>
    <t>Argila*</t>
  </si>
  <si>
    <t>Carga Geotécnica Admissível (kN)</t>
  </si>
  <si>
    <t>Média</t>
  </si>
  <si>
    <t>F. Segurança</t>
  </si>
  <si>
    <t xml:space="preserve">N. A. </t>
  </si>
  <si>
    <t>Não</t>
  </si>
  <si>
    <t>MÉTODO TEIXEIRA (1996)</t>
  </si>
  <si>
    <t>MÉTODO DECÓURT QUARESMA (1978)</t>
  </si>
  <si>
    <t>MÉTODO AOKI VELLOSO (1975)</t>
  </si>
  <si>
    <t>* Valores adaptados linearmente para preencher os dados não existentes na tabela original</t>
  </si>
  <si>
    <t>** Valores adaptados de acordo com o tipo de estaca para completar os valores não disponiveis na tabela original</t>
  </si>
  <si>
    <r>
      <t xml:space="preserve">Parâmetro </t>
    </r>
    <r>
      <rPr>
        <b/>
        <i/>
        <sz val="11"/>
        <color indexed="8"/>
        <rFont val="Calibri"/>
        <family val="2"/>
      </rPr>
      <t>β</t>
    </r>
    <r>
      <rPr>
        <b/>
        <i/>
        <sz val="11"/>
        <color indexed="8"/>
        <rFont val="Calibri"/>
        <family val="2"/>
      </rPr>
      <t xml:space="preserve"> (kPa) (Resistência Lateral)</t>
    </r>
  </si>
  <si>
    <t>Vibrada Concreto **</t>
  </si>
  <si>
    <t>Centrifugada Concreto**</t>
  </si>
  <si>
    <t>Madeira **</t>
  </si>
  <si>
    <t>Strauss **</t>
  </si>
  <si>
    <t>Estacão **</t>
  </si>
  <si>
    <t>Apiloada **</t>
  </si>
  <si>
    <t>Hélice Contínua **</t>
  </si>
  <si>
    <r>
      <t xml:space="preserve">Coeficiente K e razão de atrito </t>
    </r>
    <r>
      <rPr>
        <b/>
        <sz val="11"/>
        <color indexed="9"/>
        <rFont val="Calibri"/>
        <family val="2"/>
      </rPr>
      <t>α</t>
    </r>
  </si>
  <si>
    <r>
      <rPr>
        <b/>
        <sz val="11"/>
        <color indexed="9"/>
        <rFont val="Symbol"/>
        <family val="1"/>
      </rPr>
      <t>a</t>
    </r>
    <r>
      <rPr>
        <b/>
        <sz val="11"/>
        <color indexed="9"/>
        <rFont val="Calibri"/>
        <family val="2"/>
      </rPr>
      <t xml:space="preserve"> (%)</t>
    </r>
  </si>
  <si>
    <t>Comp (m)</t>
  </si>
  <si>
    <r>
      <t xml:space="preserve">Parâmetro </t>
    </r>
    <r>
      <rPr>
        <b/>
        <sz val="11"/>
        <color indexed="9"/>
        <rFont val="Calibri"/>
        <family val="2"/>
      </rPr>
      <t>β</t>
    </r>
    <r>
      <rPr>
        <b/>
        <sz val="11"/>
        <color indexed="9"/>
        <rFont val="Calibri"/>
        <family val="2"/>
      </rPr>
      <t xml:space="preserve"> (kPa) (Resistência Lateral)</t>
    </r>
  </si>
  <si>
    <t>Cota de apoio (m)</t>
  </si>
  <si>
    <t>Métodos de Cálculo</t>
  </si>
  <si>
    <t>NL</t>
  </si>
  <si>
    <t>NP</t>
  </si>
  <si>
    <t>FUSTE DA ESTACA</t>
  </si>
  <si>
    <t>RELATÓRIO FINAL</t>
  </si>
  <si>
    <t>Carga Admissível na cota de apoio da Estca (kN)</t>
  </si>
  <si>
    <t>Cota (m)</t>
  </si>
  <si>
    <t>N.A (m)</t>
  </si>
  <si>
    <t>TUTORIAL - TUTORIAL - TUTORIAL</t>
  </si>
  <si>
    <t>Procedimentos</t>
  </si>
  <si>
    <t>1. Iniciando</t>
  </si>
  <si>
    <r>
      <rPr>
        <b/>
        <sz val="11"/>
        <color indexed="8"/>
        <rFont val="Calibri"/>
        <family val="2"/>
      </rPr>
      <t>1.</t>
    </r>
    <r>
      <rPr>
        <sz val="11"/>
        <color theme="1"/>
        <rFont val="Calibri"/>
        <family val="2"/>
      </rPr>
      <t xml:space="preserve"> Para que sua Planilha Funcione corretamente deverá ser utilizado Ecxel 2007 ou alguma versão Superior;</t>
    </r>
  </si>
  <si>
    <r>
      <rPr>
        <b/>
        <sz val="11"/>
        <color indexed="8"/>
        <rFont val="Calibri"/>
        <family val="2"/>
      </rPr>
      <t>2.</t>
    </r>
    <r>
      <rPr>
        <sz val="11"/>
        <color theme="1"/>
        <rFont val="Calibri"/>
        <family val="2"/>
      </rPr>
      <t xml:space="preserve"> Antes de Iniciar a entrada de dados deverá ser marcada a opção: "Habilitar este conteúdo";</t>
    </r>
  </si>
  <si>
    <t>2. Entrada de Dados</t>
  </si>
  <si>
    <t>Passo a Passo:</t>
  </si>
  <si>
    <r>
      <t xml:space="preserve">&gt;Botão Office  &gt; Opções do Excel  &gt; Avançado  &gt; Exibir  &gt; Marque a opção: </t>
    </r>
    <r>
      <rPr>
        <b/>
        <sz val="11"/>
        <color indexed="8"/>
        <rFont val="Calibri"/>
        <family val="2"/>
      </rPr>
      <t>Apenas Indicadores e comentários quando focalizar</t>
    </r>
  </si>
  <si>
    <r>
      <rPr>
        <b/>
        <sz val="11"/>
        <color indexed="8"/>
        <rFont val="Calibri"/>
        <family val="2"/>
      </rPr>
      <t>3.</t>
    </r>
    <r>
      <rPr>
        <sz val="11"/>
        <color theme="1"/>
        <rFont val="Calibri"/>
        <family val="2"/>
      </rPr>
      <t xml:space="preserve"> Certifique-se de que a opção "exibição de comentários" está ativa, pois a rotina possui comentários que facilitarão  a entrada de dados e também descrevem o que a célula significa.</t>
    </r>
  </si>
  <si>
    <r>
      <rPr>
        <b/>
        <sz val="11"/>
        <color indexed="8"/>
        <rFont val="Calibri"/>
        <family val="2"/>
      </rPr>
      <t>4.</t>
    </r>
    <r>
      <rPr>
        <sz val="11"/>
        <color theme="1"/>
        <rFont val="Calibri"/>
        <family val="2"/>
      </rPr>
      <t xml:space="preserve"> A seguir click no Botão:  "Iniciar"</t>
    </r>
  </si>
  <si>
    <t>Carga Nominal (kN)</t>
  </si>
  <si>
    <r>
      <t xml:space="preserve"> </t>
    </r>
    <r>
      <rPr>
        <b/>
        <sz val="11"/>
        <color indexed="8"/>
        <rFont val="Calibri"/>
        <family val="2"/>
      </rPr>
      <t>Strauss</t>
    </r>
    <r>
      <rPr>
        <sz val="11"/>
        <color theme="1"/>
        <rFont val="Calibri"/>
        <family val="2"/>
      </rPr>
      <t xml:space="preserve"> (σ̅= 4,0 MPa)</t>
    </r>
  </si>
  <si>
    <r>
      <rPr>
        <b/>
        <sz val="11"/>
        <color indexed="8"/>
        <rFont val="Calibri"/>
        <family val="2"/>
      </rPr>
      <t xml:space="preserve">           Escavada</t>
    </r>
    <r>
      <rPr>
        <sz val="11"/>
        <color theme="1"/>
        <rFont val="Calibri"/>
        <family val="2"/>
      </rPr>
      <t xml:space="preserve"> (Trado Espiral)   (σ̅= 4,0  MPa)</t>
    </r>
  </si>
  <si>
    <r>
      <rPr>
        <b/>
        <sz val="11"/>
        <color indexed="8"/>
        <rFont val="Calibri"/>
        <family val="2"/>
      </rPr>
      <t>Estacão</t>
    </r>
    <r>
      <rPr>
        <sz val="11"/>
        <color theme="1"/>
        <rFont val="Calibri"/>
        <family val="2"/>
      </rPr>
      <t xml:space="preserve"> (σ̅= 4,0  MPa)</t>
    </r>
  </si>
  <si>
    <r>
      <rPr>
        <b/>
        <sz val="11"/>
        <color indexed="8"/>
        <rFont val="Calibri"/>
        <family val="2"/>
      </rPr>
      <t>Apiloada</t>
    </r>
    <r>
      <rPr>
        <sz val="11"/>
        <color theme="1"/>
        <rFont val="Calibri"/>
        <family val="2"/>
      </rPr>
      <t xml:space="preserve"> (σ̅= 4,0  MPa)</t>
    </r>
  </si>
  <si>
    <r>
      <rPr>
        <b/>
        <sz val="11"/>
        <color indexed="8"/>
        <rFont val="Calibri"/>
        <family val="2"/>
      </rPr>
      <t>Franki</t>
    </r>
    <r>
      <rPr>
        <sz val="11"/>
        <color theme="1"/>
        <rFont val="Calibri"/>
        <family val="2"/>
      </rPr>
      <t xml:space="preserve">  (σ̅= 6,0  MPa)</t>
    </r>
  </si>
  <si>
    <r>
      <rPr>
        <b/>
        <sz val="11"/>
        <color indexed="8"/>
        <rFont val="Calibri"/>
        <family val="2"/>
      </rPr>
      <t>Raiz</t>
    </r>
    <r>
      <rPr>
        <sz val="11"/>
        <color theme="1"/>
        <rFont val="Calibri"/>
        <family val="2"/>
      </rPr>
      <t xml:space="preserve"> (σ̅= 8,0 a 22,0  MPa)</t>
    </r>
  </si>
  <si>
    <r>
      <t xml:space="preserve">                </t>
    </r>
    <r>
      <rPr>
        <b/>
        <sz val="11"/>
        <color indexed="8"/>
        <rFont val="Calibri"/>
        <family val="2"/>
      </rPr>
      <t xml:space="preserve">Hélice Contínua  </t>
    </r>
    <r>
      <rPr>
        <sz val="11"/>
        <color theme="1"/>
        <rFont val="Calibri"/>
        <family val="2"/>
      </rPr>
      <t xml:space="preserve">         (σ̅= 4,0 a 5,0  MPa)</t>
    </r>
  </si>
  <si>
    <r>
      <rPr>
        <b/>
        <sz val="11"/>
        <color indexed="8"/>
        <rFont val="Calibri"/>
        <family val="2"/>
      </rPr>
      <t>Vibrada Circular de Concreto</t>
    </r>
    <r>
      <rPr>
        <sz val="11"/>
        <color theme="1"/>
        <rFont val="Calibri"/>
        <family val="2"/>
      </rPr>
      <t xml:space="preserve"> (σ̅= 9,0 a 11,0  MPa)</t>
    </r>
  </si>
  <si>
    <r>
      <t xml:space="preserve">    </t>
    </r>
    <r>
      <rPr>
        <b/>
        <sz val="11"/>
        <color indexed="8"/>
        <rFont val="Calibri"/>
        <family val="2"/>
      </rPr>
      <t>Centrifugada de Concreto</t>
    </r>
    <r>
      <rPr>
        <sz val="11"/>
        <color theme="1"/>
        <rFont val="Calibri"/>
        <family val="2"/>
      </rPr>
      <t xml:space="preserve">       (σ̅= 9,0 a 11,0  MPa)</t>
    </r>
  </si>
  <si>
    <r>
      <t xml:space="preserve">                     </t>
    </r>
    <r>
      <rPr>
        <b/>
        <sz val="11"/>
        <color indexed="8"/>
        <rFont val="Calibri"/>
        <family val="2"/>
      </rPr>
      <t>Madeira</t>
    </r>
    <r>
      <rPr>
        <sz val="11"/>
        <color theme="1"/>
        <rFont val="Calibri"/>
        <family val="2"/>
      </rPr>
      <t xml:space="preserve">                        (σ̅= 4,0  MPa)</t>
    </r>
  </si>
  <si>
    <t>Trilho usado (σ̅=80,00  MPa)</t>
  </si>
  <si>
    <t xml:space="preserve"> (σ̅= 4,0  MPa)</t>
  </si>
  <si>
    <t>Referências</t>
  </si>
  <si>
    <t>título da mesma, que um comentário irá descrever a que ela se refere.</t>
  </si>
  <si>
    <r>
      <rPr>
        <b/>
        <sz val="11"/>
        <color indexed="8"/>
        <rFont val="Calibri"/>
        <family val="2"/>
      </rPr>
      <t xml:space="preserve">2. </t>
    </r>
    <r>
      <rPr>
        <sz val="11"/>
        <color theme="1"/>
        <rFont val="Calibri"/>
        <family val="2"/>
      </rPr>
      <t xml:space="preserve">Caso haja alguma dificuldade sobre o que representa a célula a ser preenchida, basta posicionar o cursor sobre o </t>
    </r>
  </si>
  <si>
    <r>
      <rPr>
        <b/>
        <sz val="11"/>
        <color indexed="8"/>
        <rFont val="Calibri"/>
        <family val="2"/>
      </rPr>
      <t>1.</t>
    </r>
    <r>
      <rPr>
        <sz val="11"/>
        <color theme="1"/>
        <rFont val="Calibri"/>
        <family val="2"/>
      </rPr>
      <t xml:space="preserve"> A entrada de dados é bastante intuitiva. Contudo é necessário um conhecimento prévio em fundações.</t>
    </r>
  </si>
  <si>
    <t>Click para alterar</t>
  </si>
  <si>
    <r>
      <t>3.</t>
    </r>
    <r>
      <rPr>
        <sz val="11"/>
        <color theme="1"/>
        <rFont val="Calibri"/>
        <family val="2"/>
      </rPr>
      <t xml:space="preserve"> Na aba de cada método, existe a possibilidade de alteração dos dados em realce amarelo:</t>
    </r>
  </si>
  <si>
    <r>
      <rPr>
        <b/>
        <sz val="11"/>
        <color indexed="8"/>
        <rFont val="Calibri"/>
        <family val="2"/>
      </rPr>
      <t>4.</t>
    </r>
    <r>
      <rPr>
        <sz val="11"/>
        <color theme="1"/>
        <rFont val="Calibri"/>
        <family val="2"/>
      </rPr>
      <t xml:space="preserve"> Durante a entrada de dados o usuário poderá consultar as tabelas e coeficientes que estão sendo utilizados para a</t>
    </r>
  </si>
  <si>
    <t>realização do cálculo da capacidade de carga. Em seguida retornar para a página e continuar o trabalho.</t>
  </si>
  <si>
    <t>Obs. A planilha só permite a inserção de valores em campos específicos, os demais dados permanecem travados para</t>
  </si>
  <si>
    <t>que o resultado final seja apresentado de forma segura.</t>
  </si>
  <si>
    <t>3. Relatório Final</t>
  </si>
  <si>
    <r>
      <t>1.</t>
    </r>
    <r>
      <rPr>
        <sz val="11"/>
        <color theme="1"/>
        <rFont val="Calibri"/>
        <family val="2"/>
      </rPr>
      <t xml:space="preserve"> O relatório final apresenta: as características específicas da estaca; nível d'água; o resultado de todos os métodos</t>
    </r>
  </si>
  <si>
    <t>Considerações finais</t>
  </si>
  <si>
    <t>(destacando o valor da cota de apoio da estaca); o valor médio e um gráfico comparativo dos métodos.</t>
  </si>
  <si>
    <t xml:space="preserve"> - ALONSO, U. R. (1983). Exercícios de Fundação. Editora Edgard Blucher LTDA. São Paulo</t>
  </si>
  <si>
    <t xml:space="preserve"> - ASSOCIAÇÃO BRASILEIRA DE NORMAS TÉCNICAS. NBR 6118:2003 – Projeto de estruturas de concreto. Rio de Janeiro</t>
  </si>
  <si>
    <t xml:space="preserve"> - ASSOCIAÇÃO BRASILEIRA DE NORMAS TÉCNICAS. NBR 6122:1994 – Projeto e Execução de Fundações. Rio de Janeiro.</t>
  </si>
  <si>
    <t xml:space="preserve"> - Velloso, D. A, e Lopes, F. R. (2002), Fundações Profundas, Vol. 2, Ed. COPPE/UFRJ.</t>
  </si>
  <si>
    <t xml:space="preserve"> - CINTRA, J.C.A.; AOKI, N. (2010). Fundações por Estacas: Projeto Geotécnico. Editora Oficina de Textos, São Paulo, 2010, 96 p.</t>
  </si>
  <si>
    <t xml:space="preserve"> - Destaca-se que o projeto de pesquisa desenvolvido aqui, é apenas uma das diversas soluções possíveis para a previsão de carga de uma fundação, além disso, às variações de cada tipo de solo e recursos para a execução das fundações, abrem consideravelmente o leque de pesquisa nessa área.</t>
  </si>
  <si>
    <t xml:space="preserve"> - Por fim, pode ser ressaltado que todo trabalho desenvolvido na área das fundações é sujeito a algumas variáveis de difícil definição, o que prejudica a determinação de um valor completamente exato e seguro na definição da capacidade de carga. Entretanto os coeficientes de segurança, recomendados para as metodologias semiempíricas, dão aos projetistas um valor bastante próximo daqueles que acontecem na realidade, quando comparados com valores de provas de carga [AOKI N., CINTRA J. C. (2010)].</t>
  </si>
  <si>
    <t>Coef. solo</t>
  </si>
  <si>
    <r>
      <rPr>
        <b/>
        <sz val="11"/>
        <color indexed="8"/>
        <rFont val="Calibri"/>
        <family val="2"/>
      </rPr>
      <t>α</t>
    </r>
    <r>
      <rPr>
        <b/>
        <sz val="11"/>
        <color indexed="8"/>
        <rFont val="Calibri"/>
        <family val="2"/>
      </rPr>
      <t xml:space="preserve"> (kPa)</t>
    </r>
  </si>
  <si>
    <t>Tipo de Solo</t>
  </si>
  <si>
    <t>Variável de acordo com o Solo*</t>
  </si>
  <si>
    <t>F1 proc</t>
  </si>
  <si>
    <t>F2 proc</t>
  </si>
  <si>
    <r>
      <t>% Resistência de ponta (</t>
    </r>
    <r>
      <rPr>
        <b/>
        <sz val="11"/>
        <color indexed="8"/>
        <rFont val="Calibri"/>
        <family val="2"/>
      </rPr>
      <t xml:space="preserve">α </t>
    </r>
    <r>
      <rPr>
        <b/>
        <i/>
        <sz val="11"/>
        <color indexed="8"/>
        <rFont val="Calibri"/>
        <family val="2"/>
      </rPr>
      <t>)</t>
    </r>
  </si>
  <si>
    <r>
      <t>% Resistência lateral (</t>
    </r>
    <r>
      <rPr>
        <b/>
        <sz val="11"/>
        <color indexed="8"/>
        <rFont val="Calibri"/>
        <family val="2"/>
      </rPr>
      <t xml:space="preserve">β </t>
    </r>
    <r>
      <rPr>
        <b/>
        <i/>
        <sz val="11"/>
        <color indexed="8"/>
        <rFont val="Calibri"/>
        <family val="2"/>
      </rPr>
      <t>)</t>
    </r>
  </si>
  <si>
    <t>PLANILHA DE ESTIMATIVA DE CAPACIDADE DE CARGA DE ESTACAS</t>
  </si>
  <si>
    <t>DÉCOURT &amp; QUARESMA (1978)</t>
  </si>
  <si>
    <t>Obra:</t>
  </si>
  <si>
    <t>Local:</t>
  </si>
  <si>
    <t>DADOS DA SONDAGEM</t>
  </si>
  <si>
    <t>Empresa =</t>
  </si>
  <si>
    <t>Cota da boca =</t>
  </si>
  <si>
    <t>Profundidade =</t>
  </si>
  <si>
    <t>Emb. do bloco =</t>
  </si>
  <si>
    <t>m</t>
  </si>
  <si>
    <t>CARACTERISTICA DA ESTACA</t>
  </si>
  <si>
    <t xml:space="preserve">Tipo da Estaca = </t>
  </si>
  <si>
    <t>=</t>
  </si>
  <si>
    <t>STRAUSS</t>
  </si>
  <si>
    <r>
      <rPr>
        <sz val="8"/>
        <color indexed="8"/>
        <rFont val="Symbol"/>
        <family val="1"/>
      </rPr>
      <t>a</t>
    </r>
    <r>
      <rPr>
        <sz val="8"/>
        <color indexed="8"/>
        <rFont val="Calibri"/>
        <family val="2"/>
      </rPr>
      <t xml:space="preserve"> =</t>
    </r>
  </si>
  <si>
    <t>Diâmetro da estaca =</t>
  </si>
  <si>
    <t>Área do fuste</t>
  </si>
  <si>
    <t>cm</t>
  </si>
  <si>
    <t>cm²</t>
  </si>
  <si>
    <t>Perimetro</t>
  </si>
  <si>
    <t>Área da ponta</t>
  </si>
  <si>
    <t>Tensão concreto</t>
  </si>
  <si>
    <t>MPa</t>
  </si>
  <si>
    <t>Carga Adm. Estrutural (tf)</t>
  </si>
  <si>
    <t>tf</t>
  </si>
  <si>
    <t>Camada</t>
  </si>
  <si>
    <t>Prof</t>
  </si>
  <si>
    <t>FORMULAÇÃO</t>
  </si>
  <si>
    <t>b =</t>
  </si>
  <si>
    <t>Geometria</t>
  </si>
  <si>
    <t>(m)</t>
  </si>
  <si>
    <t>Cota</t>
  </si>
  <si>
    <t>Lestaca</t>
  </si>
  <si>
    <t>Resultados do Ensaio</t>
  </si>
  <si>
    <t>SPT</t>
  </si>
  <si>
    <t xml:space="preserve">Décourt &amp; Quaresma </t>
  </si>
  <si>
    <t>QL</t>
  </si>
  <si>
    <t>(tf)</t>
  </si>
  <si>
    <t>QP</t>
  </si>
  <si>
    <t>Qadm.</t>
  </si>
  <si>
    <t>ESCAVADA</t>
  </si>
  <si>
    <t>ESTACÃO</t>
  </si>
  <si>
    <t>APILOADA</t>
  </si>
  <si>
    <t>FRANKI</t>
  </si>
  <si>
    <t>RAIZ</t>
  </si>
  <si>
    <t>HÉLICE CONTINUA</t>
  </si>
  <si>
    <t>VIBRADA CONCRETO</t>
  </si>
  <si>
    <t>CENTRIFUGADA CONCRETO</t>
  </si>
  <si>
    <t xml:space="preserve">MADEIRA </t>
  </si>
  <si>
    <t>METÁLICA</t>
  </si>
  <si>
    <t>Cota arrasamento estaca =</t>
  </si>
  <si>
    <t>Reforçondas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</si>
</sst>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0.0000"/>
    <numFmt numFmtId="166" formatCode="0.000"/>
    <numFmt numFmtId="167" formatCode=";;;"/>
  </numFmts>
  <fonts count="108">
    <font>
      <sz val="11"/>
      <color theme="1"/>
      <name val="Calibri"/>
      <family val="2"/>
    </font>
    <font>
      <sz val="11"/>
      <color indexed="8"/>
      <name val="Calibri"/>
      <family val="2"/>
    </font>
    <font>
      <b/>
      <sz val="11"/>
      <color indexed="8"/>
      <name val="Calibri"/>
      <family val="2"/>
    </font>
    <font>
      <b/>
      <i/>
      <u val="single"/>
      <sz val="28"/>
      <color indexed="8"/>
      <name val="Calibri"/>
      <family val="2"/>
    </font>
    <font>
      <b/>
      <i/>
      <sz val="12"/>
      <color indexed="8"/>
      <name val="Calibri"/>
      <family val="2"/>
    </font>
    <font>
      <i/>
      <sz val="11"/>
      <color indexed="8"/>
      <name val="Calibri"/>
      <family val="2"/>
    </font>
    <font>
      <b/>
      <i/>
      <u val="single"/>
      <sz val="14"/>
      <color indexed="8"/>
      <name val="Calibri"/>
      <family val="2"/>
    </font>
    <font>
      <b/>
      <i/>
      <sz val="11"/>
      <color indexed="8"/>
      <name val="Calibri"/>
      <family val="2"/>
    </font>
    <font>
      <b/>
      <vertAlign val="subscript"/>
      <sz val="11"/>
      <color indexed="8"/>
      <name val="Calibri"/>
      <family val="2"/>
    </font>
    <font>
      <b/>
      <sz val="11"/>
      <color indexed="8"/>
      <name val="Symbol"/>
      <family val="1"/>
    </font>
    <font>
      <b/>
      <i/>
      <sz val="16"/>
      <color indexed="9"/>
      <name val="Calibri"/>
      <family val="2"/>
    </font>
    <font>
      <b/>
      <i/>
      <sz val="14"/>
      <color indexed="9"/>
      <name val="Calibri"/>
      <family val="2"/>
    </font>
    <font>
      <sz val="12"/>
      <color indexed="8"/>
      <name val="Calibri"/>
      <family val="2"/>
    </font>
    <font>
      <b/>
      <sz val="12"/>
      <color indexed="8"/>
      <name val="Calibri"/>
      <family val="2"/>
    </font>
    <font>
      <b/>
      <i/>
      <sz val="12"/>
      <color indexed="9"/>
      <name val="Calibri"/>
      <family val="2"/>
    </font>
    <font>
      <sz val="9"/>
      <name val="Tahoma"/>
      <family val="2"/>
    </font>
    <font>
      <b/>
      <sz val="9"/>
      <name val="Tahoma"/>
      <family val="2"/>
    </font>
    <font>
      <sz val="11"/>
      <color indexed="10"/>
      <name val="Calibri"/>
      <family val="2"/>
    </font>
    <font>
      <sz val="11"/>
      <name val="Calibri"/>
      <family val="2"/>
    </font>
    <font>
      <b/>
      <i/>
      <vertAlign val="subscript"/>
      <sz val="11"/>
      <color indexed="8"/>
      <name val="Calibri"/>
      <family val="2"/>
    </font>
    <font>
      <b/>
      <sz val="9"/>
      <name val="Calibri"/>
      <family val="2"/>
    </font>
    <font>
      <b/>
      <i/>
      <u val="single"/>
      <sz val="9"/>
      <name val="Tahoma"/>
      <family val="2"/>
    </font>
    <font>
      <sz val="10"/>
      <color indexed="8"/>
      <name val="Calibri"/>
      <family val="2"/>
    </font>
    <font>
      <b/>
      <sz val="11"/>
      <color indexed="10"/>
      <name val="Calibri"/>
      <family val="2"/>
    </font>
    <font>
      <b/>
      <sz val="11"/>
      <name val="Calibri"/>
      <family val="2"/>
    </font>
    <font>
      <b/>
      <vertAlign val="subscript"/>
      <sz val="11"/>
      <name val="Calibri"/>
      <family val="2"/>
    </font>
    <font>
      <b/>
      <sz val="11"/>
      <color indexed="62"/>
      <name val="Calibri"/>
      <family val="2"/>
    </font>
    <font>
      <sz val="11"/>
      <color indexed="21"/>
      <name val="Calibri"/>
      <family val="2"/>
    </font>
    <font>
      <b/>
      <sz val="11"/>
      <color indexed="9"/>
      <name val="Calibri"/>
      <family val="2"/>
    </font>
    <font>
      <sz val="11"/>
      <color indexed="9"/>
      <name val="Calibri"/>
      <family val="2"/>
    </font>
    <font>
      <b/>
      <sz val="11"/>
      <color indexed="9"/>
      <name val="Symbol"/>
      <family val="1"/>
    </font>
    <font>
      <sz val="11"/>
      <color indexed="36"/>
      <name val="Calibri"/>
      <family val="2"/>
    </font>
    <font>
      <sz val="11"/>
      <color indexed="8"/>
      <name val="Arial"/>
      <family val="2"/>
    </font>
    <font>
      <sz val="12"/>
      <color indexed="8"/>
      <name val="Arial"/>
      <family val="2"/>
    </font>
    <font>
      <b/>
      <sz val="11"/>
      <color indexed="56"/>
      <name val="Calibri"/>
      <family val="2"/>
    </font>
    <font>
      <sz val="11"/>
      <color indexed="56"/>
      <name val="Calibri"/>
      <family val="2"/>
    </font>
    <font>
      <b/>
      <u val="single"/>
      <sz val="11"/>
      <color indexed="56"/>
      <name val="Calibri"/>
      <family val="2"/>
    </font>
    <font>
      <sz val="10"/>
      <color indexed="9"/>
      <name val="Verdana"/>
      <family val="2"/>
    </font>
    <font>
      <sz val="8"/>
      <color indexed="8"/>
      <name val="Calibri"/>
      <family val="2"/>
    </font>
    <font>
      <b/>
      <sz val="11"/>
      <color indexed="17"/>
      <name val="Calibri"/>
      <family val="2"/>
    </font>
    <font>
      <b/>
      <sz val="9"/>
      <color indexed="8"/>
      <name val="Calibri"/>
      <family val="2"/>
    </font>
    <font>
      <b/>
      <sz val="8"/>
      <color indexed="8"/>
      <name val="Calibri"/>
      <family val="2"/>
    </font>
    <font>
      <b/>
      <sz val="8"/>
      <color indexed="17"/>
      <name val="Calibri"/>
      <family val="2"/>
    </font>
    <font>
      <sz val="8"/>
      <color indexed="8"/>
      <name val="Symbol"/>
      <family val="1"/>
    </font>
    <font>
      <sz val="8"/>
      <name val="Calibri"/>
      <family val="2"/>
    </font>
    <font>
      <b/>
      <sz val="8"/>
      <name val="Calibri"/>
      <family val="2"/>
    </font>
    <font>
      <sz val="8"/>
      <name val="Segoe UI"/>
      <family val="2"/>
    </font>
    <font>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i/>
      <sz val="16"/>
      <color indexed="8"/>
      <name val="Calibri"/>
      <family val="0"/>
    </font>
    <font>
      <b/>
      <sz val="16"/>
      <color indexed="8"/>
      <name val="Calibri"/>
      <family val="0"/>
    </font>
    <font>
      <b/>
      <sz val="14"/>
      <color indexed="8"/>
      <name val="Calibri"/>
      <family val="0"/>
    </font>
    <font>
      <b/>
      <i/>
      <sz val="14"/>
      <color indexed="8"/>
      <name val="Calibri"/>
      <family val="0"/>
    </font>
    <font>
      <sz val="10"/>
      <color indexed="9"/>
      <name val="Calibri"/>
      <family val="0"/>
    </font>
    <font>
      <b/>
      <sz val="10"/>
      <color indexed="9"/>
      <name val="Calibri"/>
      <family val="0"/>
    </font>
    <font>
      <b/>
      <sz val="18"/>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i/>
      <sz val="12"/>
      <color theme="1"/>
      <name val="Calibri"/>
      <family val="2"/>
    </font>
    <font>
      <i/>
      <sz val="11"/>
      <color theme="1"/>
      <name val="Calibri"/>
      <family val="2"/>
    </font>
    <font>
      <b/>
      <i/>
      <u val="single"/>
      <sz val="14"/>
      <color theme="1"/>
      <name val="Calibri"/>
      <family val="2"/>
    </font>
    <font>
      <sz val="12"/>
      <color theme="1"/>
      <name val="Calibri"/>
      <family val="2"/>
    </font>
    <font>
      <b/>
      <sz val="12"/>
      <color theme="1"/>
      <name val="Calibri"/>
      <family val="2"/>
    </font>
    <font>
      <sz val="11"/>
      <color theme="8" tint="-0.4999699890613556"/>
      <name val="Calibri"/>
      <family val="2"/>
    </font>
    <font>
      <b/>
      <i/>
      <sz val="11"/>
      <color theme="1"/>
      <name val="Calibri"/>
      <family val="2"/>
    </font>
    <font>
      <b/>
      <sz val="11"/>
      <color theme="1"/>
      <name val="Symbol"/>
      <family val="1"/>
    </font>
    <font>
      <sz val="11"/>
      <color rgb="FF7030A0"/>
      <name val="Calibri"/>
      <family val="2"/>
    </font>
    <font>
      <b/>
      <sz val="11"/>
      <color rgb="FFFF0000"/>
      <name val="Calibri"/>
      <family val="2"/>
    </font>
    <font>
      <b/>
      <sz val="11"/>
      <color theme="4" tint="-0.24997000396251678"/>
      <name val="Calibri"/>
      <family val="2"/>
    </font>
    <font>
      <sz val="11"/>
      <color theme="3"/>
      <name val="Calibri"/>
      <family val="2"/>
    </font>
    <font>
      <b/>
      <u val="single"/>
      <sz val="11"/>
      <color theme="3"/>
      <name val="Calibri"/>
      <family val="2"/>
    </font>
    <font>
      <sz val="10"/>
      <color theme="0"/>
      <name val="Verdana"/>
      <family val="2"/>
    </font>
    <font>
      <sz val="8"/>
      <color theme="1"/>
      <name val="Calibri"/>
      <family val="2"/>
    </font>
    <font>
      <b/>
      <sz val="8"/>
      <color theme="1"/>
      <name val="Calibri"/>
      <family val="2"/>
    </font>
    <font>
      <b/>
      <sz val="11"/>
      <color rgb="FF008000"/>
      <name val="Calibri"/>
      <family val="2"/>
    </font>
    <font>
      <b/>
      <sz val="8"/>
      <color rgb="FF008000"/>
      <name val="Calibri"/>
      <family val="2"/>
    </font>
    <font>
      <sz val="8"/>
      <color theme="1"/>
      <name val="Symbol"/>
      <family val="1"/>
    </font>
    <font>
      <b/>
      <i/>
      <u val="single"/>
      <sz val="28"/>
      <color theme="1"/>
      <name val="Calibri"/>
      <family val="2"/>
    </font>
    <font>
      <b/>
      <i/>
      <sz val="14"/>
      <color theme="0"/>
      <name val="Calibri"/>
      <family val="2"/>
    </font>
    <font>
      <b/>
      <i/>
      <sz val="12"/>
      <color theme="0"/>
      <name val="Calibri"/>
      <family val="2"/>
    </font>
    <font>
      <b/>
      <sz val="9"/>
      <color theme="1"/>
      <name val="Calibri"/>
      <family val="2"/>
    </font>
    <font>
      <b/>
      <i/>
      <sz val="16"/>
      <color theme="0"/>
      <name val="Calibri"/>
      <family val="2"/>
    </font>
    <font>
      <sz val="10"/>
      <color theme="1"/>
      <name val="Calibri"/>
      <family val="2"/>
    </font>
    <font>
      <sz val="12"/>
      <color theme="1"/>
      <name val="Arial"/>
      <family val="2"/>
    </font>
    <font>
      <sz val="11"/>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FFFF66"/>
        <bgColor indexed="64"/>
      </patternFill>
    </fill>
    <fill>
      <patternFill patternType="solid">
        <fgColor theme="1" tint="0.04998999834060669"/>
        <bgColor indexed="64"/>
      </patternFill>
    </fill>
    <fill>
      <patternFill patternType="solid">
        <fgColor rgb="FFFFFF99"/>
        <bgColor indexed="64"/>
      </patternFill>
    </fill>
    <fill>
      <patternFill patternType="solid">
        <fgColor theme="3" tint="0.39998000860214233"/>
        <bgColor indexed="64"/>
      </patternFill>
    </fill>
    <fill>
      <patternFill patternType="solid">
        <fgColor rgb="FF92D050"/>
        <bgColor indexed="64"/>
      </patternFill>
    </fill>
    <fill>
      <patternFill patternType="solid">
        <fgColor rgb="FF7030A0"/>
        <bgColor indexed="64"/>
      </patternFill>
    </fill>
    <fill>
      <patternFill patternType="solid">
        <fgColor theme="9" tint="-0.24997000396251678"/>
        <bgColor indexed="64"/>
      </patternFill>
    </fill>
    <fill>
      <patternFill patternType="solid">
        <fgColor theme="3" tint="0.799979984760284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border>
    <border>
      <left style="thin"/>
      <right style="thin"/>
      <top style="medium"/>
      <bottom/>
    </border>
    <border>
      <left style="thin"/>
      <right style="thin"/>
      <top/>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style="thin"/>
      <right/>
      <top style="medium"/>
      <bottom style="thin"/>
    </border>
    <border>
      <left style="thin"/>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border>
    <border>
      <left/>
      <right/>
      <top/>
      <bottom style="medium"/>
    </border>
    <border>
      <left/>
      <right style="medium"/>
      <top/>
      <bottom style="medium"/>
    </border>
    <border>
      <left/>
      <right style="medium"/>
      <top/>
      <bottom/>
    </border>
    <border>
      <left style="thin"/>
      <right style="medium"/>
      <top/>
      <bottom style="thin"/>
    </border>
    <border>
      <left style="thin"/>
      <right style="medium"/>
      <top style="thin"/>
      <bottom/>
    </border>
    <border>
      <left style="medium"/>
      <right style="thin"/>
      <top/>
      <bottom style="thin"/>
    </border>
    <border>
      <left style="medium"/>
      <right style="thin"/>
      <top style="thin"/>
      <bottom/>
    </border>
    <border>
      <left style="thin"/>
      <right style="medium"/>
      <top style="medium"/>
      <bottom/>
    </border>
    <border>
      <left style="medium"/>
      <right/>
      <top style="medium"/>
      <bottom style="medium"/>
    </border>
    <border>
      <left/>
      <right/>
      <top style="medium"/>
      <bottom/>
    </border>
    <border>
      <left/>
      <right style="medium"/>
      <top style="medium"/>
      <bottom/>
    </border>
    <border>
      <left style="medium"/>
      <right/>
      <top/>
      <bottom style="medium"/>
    </border>
    <border>
      <left style="thin"/>
      <right style="thin"/>
      <top/>
      <bottom/>
    </border>
    <border>
      <left style="thin"/>
      <right/>
      <top style="medium"/>
      <bottom/>
    </border>
    <border>
      <left style="thin"/>
      <right style="thin"/>
      <top/>
      <bottom style="medium"/>
    </border>
    <border>
      <left/>
      <right style="thin"/>
      <top style="thin"/>
      <bottom style="thin"/>
    </border>
    <border>
      <left style="thin"/>
      <right/>
      <top/>
      <bottom/>
    </border>
    <border>
      <left/>
      <right style="thin"/>
      <top/>
      <bottom/>
    </border>
    <border>
      <left/>
      <right style="medium"/>
      <top style="medium"/>
      <bottom style="medium"/>
    </border>
    <border>
      <left style="medium"/>
      <right style="medium"/>
      <top style="medium"/>
      <bottom/>
    </border>
    <border>
      <left style="thin"/>
      <right style="medium"/>
      <top/>
      <bottom style="medium"/>
    </border>
    <border>
      <left style="medium"/>
      <right style="thin"/>
      <top/>
      <bottom style="medium"/>
    </border>
    <border>
      <left/>
      <right style="thin"/>
      <top/>
      <bottom style="thin"/>
    </border>
    <border>
      <left/>
      <right/>
      <top/>
      <bottom style="thin"/>
    </border>
    <border>
      <left/>
      <right/>
      <top style="thin"/>
      <bottom/>
    </border>
    <border>
      <left/>
      <right style="thin"/>
      <top style="thin"/>
      <bottom/>
    </border>
    <border>
      <left/>
      <right/>
      <top style="medium"/>
      <bottom style="medium"/>
    </border>
    <border>
      <left style="medium"/>
      <right/>
      <top style="medium"/>
      <bottom/>
    </border>
    <border>
      <left/>
      <right/>
      <top style="thin"/>
      <bottom style="thin"/>
    </border>
    <border>
      <left/>
      <right/>
      <top style="medium"/>
      <bottom style="thin"/>
    </border>
    <border>
      <left/>
      <right style="thin"/>
      <top style="medium"/>
      <bottom style="thin"/>
    </border>
    <border>
      <left/>
      <right style="thin"/>
      <top style="thin"/>
      <bottom style="medium"/>
    </border>
    <border>
      <left/>
      <right style="medium"/>
      <top style="medium"/>
      <bottom style="thin"/>
    </border>
    <border>
      <left/>
      <right style="medium"/>
      <top style="thin"/>
      <bottom style="medium"/>
    </border>
    <border>
      <left/>
      <right/>
      <top style="thin"/>
      <bottom style="medium"/>
    </border>
    <border>
      <left style="medium"/>
      <right style="thin"/>
      <top/>
      <bottom/>
    </border>
    <border>
      <left/>
      <right style="thin"/>
      <top/>
      <bottom style="medium"/>
    </border>
    <border>
      <left/>
      <right style="medium"/>
      <top/>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0" fillId="29" borderId="1" applyNumberFormat="0" applyAlignment="0" applyProtection="0"/>
    <xf numFmtId="0" fontId="7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41"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43" fontId="0" fillId="0" borderId="0" applyFont="0" applyFill="0" applyBorder="0" applyAlignment="0" applyProtection="0"/>
  </cellStyleXfs>
  <cellXfs count="554">
    <xf numFmtId="0" fontId="0" fillId="0" borderId="0" xfId="0" applyFont="1" applyAlignment="1">
      <alignment/>
    </xf>
    <xf numFmtId="0" fontId="81" fillId="0" borderId="0" xfId="0" applyFont="1" applyAlignment="1">
      <alignment horizontal="center"/>
    </xf>
    <xf numFmtId="0" fontId="82" fillId="0" borderId="0" xfId="0" applyFont="1" applyAlignment="1">
      <alignment horizontal="center"/>
    </xf>
    <xf numFmtId="0" fontId="83" fillId="0" borderId="0" xfId="0" applyFont="1" applyAlignment="1">
      <alignment vertical="center"/>
    </xf>
    <xf numFmtId="0" fontId="82" fillId="0" borderId="0" xfId="0" applyFont="1" applyAlignment="1">
      <alignment vertical="center"/>
    </xf>
    <xf numFmtId="0" fontId="81" fillId="0" borderId="0" xfId="0" applyFont="1" applyAlignment="1">
      <alignment/>
    </xf>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0" xfId="0" applyAlignment="1" applyProtection="1">
      <alignment vertical="center"/>
      <protection locked="0"/>
    </xf>
    <xf numFmtId="0" fontId="0" fillId="33" borderId="11" xfId="0" applyNumberFormat="1" applyFill="1" applyBorder="1" applyAlignment="1">
      <alignment horizontal="center" vertical="center"/>
    </xf>
    <xf numFmtId="0" fontId="0" fillId="33" borderId="13" xfId="0" applyNumberFormat="1" applyFill="1" applyBorder="1" applyAlignment="1">
      <alignment horizontal="center" vertical="center"/>
    </xf>
    <xf numFmtId="0" fontId="0" fillId="33" borderId="15" xfId="0" applyNumberFormat="1" applyFill="1" applyBorder="1" applyAlignment="1">
      <alignment horizontal="center" vertical="center"/>
    </xf>
    <xf numFmtId="0" fontId="0" fillId="33" borderId="11" xfId="0" applyNumberFormat="1" applyFont="1" applyFill="1" applyBorder="1" applyAlignment="1">
      <alignment horizontal="center" vertical="center"/>
    </xf>
    <xf numFmtId="0" fontId="0" fillId="33" borderId="13" xfId="0" applyNumberFormat="1" applyFont="1" applyFill="1" applyBorder="1" applyAlignment="1">
      <alignment horizontal="center" vertical="center"/>
    </xf>
    <xf numFmtId="0" fontId="0" fillId="33" borderId="15" xfId="0" applyNumberFormat="1" applyFont="1"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6" xfId="0" applyFill="1" applyBorder="1" applyAlignment="1">
      <alignment horizontal="center" vertical="center" wrapText="1"/>
    </xf>
    <xf numFmtId="0" fontId="0" fillId="0" borderId="0" xfId="0" applyAlignment="1">
      <alignment horizontal="center"/>
    </xf>
    <xf numFmtId="2" fontId="0" fillId="0" borderId="12" xfId="0" applyNumberFormat="1" applyFont="1" applyBorder="1" applyAlignment="1">
      <alignment horizontal="center" vertical="center"/>
    </xf>
    <xf numFmtId="2" fontId="84" fillId="0" borderId="12" xfId="0" applyNumberFormat="1" applyFont="1" applyBorder="1" applyAlignment="1">
      <alignment horizontal="center" vertical="center"/>
    </xf>
    <xf numFmtId="0" fontId="80" fillId="0" borderId="19" xfId="0" applyFont="1" applyBorder="1" applyAlignment="1">
      <alignment/>
    </xf>
    <xf numFmtId="0" fontId="0" fillId="0" borderId="20" xfId="0" applyBorder="1" applyAlignment="1">
      <alignment/>
    </xf>
    <xf numFmtId="0" fontId="0" fillId="0" borderId="13" xfId="0" applyBorder="1" applyAlignment="1">
      <alignment horizontal="center"/>
    </xf>
    <xf numFmtId="0" fontId="0" fillId="0" borderId="21" xfId="0" applyBorder="1" applyAlignment="1">
      <alignment/>
    </xf>
    <xf numFmtId="0" fontId="0" fillId="0" borderId="14" xfId="0" applyBorder="1" applyAlignment="1">
      <alignment horizontal="center"/>
    </xf>
    <xf numFmtId="0" fontId="0" fillId="0" borderId="15" xfId="0" applyBorder="1" applyAlignment="1">
      <alignment horizontal="center"/>
    </xf>
    <xf numFmtId="0" fontId="74" fillId="0" borderId="0" xfId="0" applyFont="1" applyFill="1" applyBorder="1" applyAlignment="1">
      <alignment/>
    </xf>
    <xf numFmtId="0" fontId="85" fillId="0" borderId="12" xfId="0" applyFont="1" applyBorder="1" applyAlignment="1">
      <alignment horizontal="center"/>
    </xf>
    <xf numFmtId="0" fontId="80" fillId="0" borderId="12" xfId="0" applyFont="1"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Border="1" applyAlignment="1">
      <alignment horizontal="center"/>
    </xf>
    <xf numFmtId="0" fontId="80" fillId="35" borderId="19" xfId="0" applyFont="1" applyFill="1" applyBorder="1" applyAlignment="1">
      <alignment horizontal="center"/>
    </xf>
    <xf numFmtId="0" fontId="80" fillId="35" borderId="11" xfId="0" applyFont="1" applyFill="1" applyBorder="1" applyAlignment="1">
      <alignment horizont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3" borderId="13"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12" xfId="0" applyFill="1" applyBorder="1" applyAlignment="1">
      <alignment horizontal="center"/>
    </xf>
    <xf numFmtId="0" fontId="0" fillId="33" borderId="10" xfId="0" applyFill="1" applyBorder="1" applyAlignment="1">
      <alignment horizontal="center"/>
    </xf>
    <xf numFmtId="0" fontId="0" fillId="33" borderId="14" xfId="0" applyFill="1" applyBorder="1" applyAlignment="1">
      <alignment horizont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xf>
    <xf numFmtId="0" fontId="0" fillId="33" borderId="27" xfId="0" applyFill="1" applyBorder="1" applyAlignment="1">
      <alignment horizontal="center"/>
    </xf>
    <xf numFmtId="3" fontId="0" fillId="33" borderId="30" xfId="0" applyNumberFormat="1" applyFill="1" applyBorder="1" applyAlignment="1">
      <alignment horizont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2" xfId="0" applyFill="1" applyBorder="1" applyAlignment="1">
      <alignment horizontal="center"/>
    </xf>
    <xf numFmtId="3" fontId="0" fillId="33" borderId="33" xfId="0" applyNumberFormat="1" applyFill="1" applyBorder="1" applyAlignment="1">
      <alignment horizontal="center"/>
    </xf>
    <xf numFmtId="0" fontId="0" fillId="34" borderId="34" xfId="0" applyFill="1" applyBorder="1" applyAlignment="1">
      <alignment horizontal="center" vertical="center"/>
    </xf>
    <xf numFmtId="0" fontId="0" fillId="33" borderId="31" xfId="0" applyFill="1" applyBorder="1" applyAlignment="1">
      <alignment horizont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5" xfId="0" applyFill="1" applyBorder="1" applyAlignment="1">
      <alignment horizontal="center"/>
    </xf>
    <xf numFmtId="0" fontId="0" fillId="33" borderId="36" xfId="0" applyFill="1" applyBorder="1" applyAlignment="1">
      <alignment horizontal="center"/>
    </xf>
    <xf numFmtId="3" fontId="0" fillId="33" borderId="38" xfId="0" applyNumberFormat="1" applyFill="1" applyBorder="1" applyAlignment="1">
      <alignment horizontal="center"/>
    </xf>
    <xf numFmtId="0" fontId="0" fillId="33" borderId="33" xfId="0" applyFill="1" applyBorder="1" applyAlignment="1">
      <alignment horizontal="center" vertical="center"/>
    </xf>
    <xf numFmtId="165" fontId="0" fillId="33" borderId="12" xfId="0" applyNumberFormat="1" applyFill="1" applyBorder="1" applyAlignment="1">
      <alignment horizontal="center"/>
    </xf>
    <xf numFmtId="166" fontId="0" fillId="33" borderId="12" xfId="0" applyNumberFormat="1" applyFill="1" applyBorder="1" applyAlignment="1">
      <alignment horizontal="center"/>
    </xf>
    <xf numFmtId="0" fontId="0" fillId="0" borderId="39" xfId="0" applyBorder="1" applyAlignment="1">
      <alignment/>
    </xf>
    <xf numFmtId="0" fontId="0" fillId="0" borderId="0" xfId="0" applyBorder="1" applyAlignment="1">
      <alignment/>
    </xf>
    <xf numFmtId="0" fontId="0" fillId="0" borderId="40" xfId="0" applyBorder="1" applyAlignment="1">
      <alignment/>
    </xf>
    <xf numFmtId="0" fontId="0" fillId="0" borderId="41" xfId="0" applyBorder="1" applyAlignment="1">
      <alignment/>
    </xf>
    <xf numFmtId="0" fontId="86" fillId="0" borderId="42" xfId="0" applyFont="1" applyBorder="1" applyAlignment="1">
      <alignment horizontal="center"/>
    </xf>
    <xf numFmtId="0" fontId="0" fillId="0" borderId="12" xfId="0" applyBorder="1" applyAlignment="1">
      <alignment horizontal="center"/>
    </xf>
    <xf numFmtId="0" fontId="80" fillId="0" borderId="10" xfId="0" applyFont="1" applyBorder="1" applyAlignment="1">
      <alignment horizontal="center"/>
    </xf>
    <xf numFmtId="0" fontId="80" fillId="0" borderId="11" xfId="0" applyFont="1" applyBorder="1" applyAlignment="1">
      <alignment horizontal="center"/>
    </xf>
    <xf numFmtId="0" fontId="0" fillId="0" borderId="0" xfId="0" applyBorder="1" applyAlignment="1">
      <alignment vertical="center"/>
    </xf>
    <xf numFmtId="0" fontId="0" fillId="0" borderId="42" xfId="0" applyBorder="1" applyAlignment="1">
      <alignment/>
    </xf>
    <xf numFmtId="0" fontId="80" fillId="0" borderId="20" xfId="0" applyFont="1" applyBorder="1" applyAlignment="1">
      <alignment vertical="center"/>
    </xf>
    <xf numFmtId="0" fontId="85" fillId="0" borderId="13" xfId="0" applyFont="1" applyBorder="1" applyAlignment="1">
      <alignment horizontal="center"/>
    </xf>
    <xf numFmtId="2" fontId="84" fillId="0" borderId="13" xfId="0" applyNumberFormat="1" applyFont="1" applyBorder="1" applyAlignment="1">
      <alignment horizontal="center" vertical="center"/>
    </xf>
    <xf numFmtId="0" fontId="0" fillId="0" borderId="20" xfId="0" applyFont="1" applyBorder="1" applyAlignment="1">
      <alignment vertical="center"/>
    </xf>
    <xf numFmtId="0" fontId="80" fillId="0" borderId="13" xfId="0" applyFont="1" applyBorder="1" applyAlignment="1">
      <alignment horizontal="center" vertical="center"/>
    </xf>
    <xf numFmtId="164" fontId="0" fillId="0" borderId="13" xfId="0" applyNumberFormat="1" applyFont="1" applyBorder="1" applyAlignment="1">
      <alignment horizontal="center" vertical="center"/>
    </xf>
    <xf numFmtId="0" fontId="0" fillId="0" borderId="21" xfId="0" applyFont="1" applyBorder="1" applyAlignment="1">
      <alignment vertical="center"/>
    </xf>
    <xf numFmtId="2" fontId="0" fillId="0" borderId="14" xfId="0" applyNumberFormat="1" applyFont="1" applyBorder="1" applyAlignment="1">
      <alignment horizontal="center" vertical="center"/>
    </xf>
    <xf numFmtId="164" fontId="0" fillId="0" borderId="15" xfId="0" applyNumberFormat="1" applyFont="1" applyBorder="1" applyAlignment="1">
      <alignment horizontal="center" vertical="center"/>
    </xf>
    <xf numFmtId="0" fontId="85" fillId="0" borderId="20" xfId="0" applyFont="1" applyBorder="1" applyAlignment="1">
      <alignment/>
    </xf>
    <xf numFmtId="0" fontId="84" fillId="0" borderId="20" xfId="0" applyFont="1" applyBorder="1" applyAlignment="1">
      <alignment/>
    </xf>
    <xf numFmtId="0" fontId="84" fillId="0" borderId="21" xfId="0" applyFont="1" applyBorder="1" applyAlignment="1">
      <alignment/>
    </xf>
    <xf numFmtId="2" fontId="0" fillId="0" borderId="14" xfId="0" applyNumberFormat="1" applyBorder="1" applyAlignment="1">
      <alignment horizontal="center" vertical="center"/>
    </xf>
    <xf numFmtId="2" fontId="84" fillId="0" borderId="15" xfId="0" applyNumberFormat="1" applyFont="1" applyBorder="1" applyAlignment="1">
      <alignment horizontal="center" vertical="center"/>
    </xf>
    <xf numFmtId="0" fontId="24" fillId="0" borderId="16" xfId="0" applyFont="1" applyBorder="1" applyAlignment="1">
      <alignment/>
    </xf>
    <xf numFmtId="0" fontId="24" fillId="0" borderId="18" xfId="0" applyFont="1" applyBorder="1" applyAlignment="1">
      <alignment horizontal="center"/>
    </xf>
    <xf numFmtId="0" fontId="18" fillId="0" borderId="43" xfId="0" applyFont="1" applyBorder="1" applyAlignment="1">
      <alignment horizontal="center"/>
    </xf>
    <xf numFmtId="0" fontId="18" fillId="0" borderId="20" xfId="0" applyFont="1" applyBorder="1" applyAlignment="1" applyProtection="1">
      <alignment vertical="center"/>
      <protection locked="0"/>
    </xf>
    <xf numFmtId="0" fontId="18" fillId="0" borderId="13" xfId="0" applyFont="1" applyBorder="1" applyAlignment="1">
      <alignment horizontal="center"/>
    </xf>
    <xf numFmtId="0" fontId="18" fillId="0" borderId="20" xfId="0" applyFont="1" applyBorder="1" applyAlignment="1">
      <alignment vertical="center"/>
    </xf>
    <xf numFmtId="0" fontId="18" fillId="0" borderId="44" xfId="0" applyFont="1" applyBorder="1" applyAlignment="1">
      <alignment horizontal="center"/>
    </xf>
    <xf numFmtId="0" fontId="18" fillId="0" borderId="12" xfId="0" applyFont="1" applyBorder="1" applyAlignment="1" applyProtection="1">
      <alignment horizontal="center" vertical="center"/>
      <protection locked="0"/>
    </xf>
    <xf numFmtId="0" fontId="24" fillId="33" borderId="16" xfId="0" applyFont="1" applyFill="1" applyBorder="1" applyAlignment="1">
      <alignment vertical="center"/>
    </xf>
    <xf numFmtId="0" fontId="18" fillId="0" borderId="19" xfId="0" applyFont="1" applyBorder="1" applyAlignment="1" applyProtection="1">
      <alignment vertical="center"/>
      <protection locked="0"/>
    </xf>
    <xf numFmtId="0" fontId="18" fillId="0" borderId="11" xfId="0" applyFont="1" applyBorder="1" applyAlignment="1">
      <alignment horizontal="center"/>
    </xf>
    <xf numFmtId="0" fontId="18" fillId="0" borderId="21" xfId="0" applyFont="1" applyBorder="1" applyAlignment="1" applyProtection="1">
      <alignment vertical="center"/>
      <protection locked="0"/>
    </xf>
    <xf numFmtId="0" fontId="18" fillId="0" borderId="15" xfId="0" applyFont="1" applyBorder="1" applyAlignment="1">
      <alignment horizontal="center"/>
    </xf>
    <xf numFmtId="0" fontId="18" fillId="0" borderId="45" xfId="0" applyFont="1" applyBorder="1" applyAlignment="1">
      <alignment vertical="center"/>
    </xf>
    <xf numFmtId="0" fontId="18" fillId="0" borderId="46" xfId="0" applyFont="1" applyBorder="1" applyAlignment="1">
      <alignment vertical="center"/>
    </xf>
    <xf numFmtId="0" fontId="18" fillId="0" borderId="21" xfId="0" applyFont="1" applyBorder="1" applyAlignment="1">
      <alignment vertical="center"/>
    </xf>
    <xf numFmtId="0" fontId="86" fillId="0" borderId="0" xfId="0" applyFont="1" applyBorder="1" applyAlignment="1">
      <alignment/>
    </xf>
    <xf numFmtId="0" fontId="86" fillId="0" borderId="42" xfId="0" applyFont="1" applyBorder="1" applyAlignment="1">
      <alignment/>
    </xf>
    <xf numFmtId="0" fontId="86" fillId="0" borderId="0" xfId="0" applyFont="1" applyBorder="1" applyAlignment="1">
      <alignment horizontal="center"/>
    </xf>
    <xf numFmtId="0" fontId="18" fillId="0" borderId="12" xfId="0" applyFont="1" applyBorder="1" applyAlignment="1">
      <alignment horizontal="center"/>
    </xf>
    <xf numFmtId="0" fontId="18" fillId="0" borderId="12" xfId="0" applyFont="1" applyFill="1" applyBorder="1" applyAlignment="1">
      <alignment horizontal="center"/>
    </xf>
    <xf numFmtId="0" fontId="80" fillId="0" borderId="22" xfId="0" applyFont="1" applyBorder="1" applyAlignment="1">
      <alignment/>
    </xf>
    <xf numFmtId="0" fontId="18" fillId="0" borderId="14" xfId="0" applyFont="1" applyFill="1" applyBorder="1" applyAlignment="1">
      <alignment horizontal="center"/>
    </xf>
    <xf numFmtId="0" fontId="18" fillId="0" borderId="14" xfId="0" applyFont="1" applyBorder="1" applyAlignment="1" applyProtection="1">
      <alignment horizontal="center" vertical="center"/>
      <protection locked="0"/>
    </xf>
    <xf numFmtId="0" fontId="18" fillId="0" borderId="24" xfId="0" applyFont="1" applyBorder="1" applyAlignment="1">
      <alignment horizontal="center"/>
    </xf>
    <xf numFmtId="0" fontId="18" fillId="33" borderId="17" xfId="0" applyFont="1" applyFill="1" applyBorder="1" applyAlignment="1">
      <alignment horizontal="center"/>
    </xf>
    <xf numFmtId="0" fontId="18" fillId="33" borderId="18" xfId="0" applyFont="1" applyFill="1" applyBorder="1" applyAlignment="1">
      <alignment horizontal="center"/>
    </xf>
    <xf numFmtId="0" fontId="18" fillId="0" borderId="25" xfId="0" applyFont="1" applyBorder="1" applyAlignment="1">
      <alignment horizontal="center"/>
    </xf>
    <xf numFmtId="0" fontId="18" fillId="0" borderId="25" xfId="0" applyFont="1" applyFill="1" applyBorder="1" applyAlignment="1">
      <alignment horizontal="center"/>
    </xf>
    <xf numFmtId="0" fontId="24" fillId="0" borderId="23" xfId="0" applyFont="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47" xfId="0" applyFont="1" applyBorder="1" applyAlignment="1" applyProtection="1">
      <alignment vertical="center"/>
      <protection locked="0"/>
    </xf>
    <xf numFmtId="0" fontId="65" fillId="0" borderId="0" xfId="0" applyFont="1" applyAlignment="1">
      <alignment/>
    </xf>
    <xf numFmtId="0" fontId="65" fillId="0" borderId="0" xfId="0" applyFont="1" applyAlignment="1">
      <alignment vertical="center"/>
    </xf>
    <xf numFmtId="0" fontId="65" fillId="0" borderId="0" xfId="0" applyFont="1" applyBorder="1" applyAlignment="1">
      <alignment horizontal="center"/>
    </xf>
    <xf numFmtId="0" fontId="0" fillId="33" borderId="21" xfId="0" applyFill="1" applyBorder="1" applyAlignment="1">
      <alignment horizontal="center" vertical="center"/>
    </xf>
    <xf numFmtId="0" fontId="24" fillId="17" borderId="34" xfId="0"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87" fillId="36" borderId="10" xfId="0" applyFont="1" applyFill="1" applyBorder="1" applyAlignment="1">
      <alignment horizontal="center"/>
    </xf>
    <xf numFmtId="0" fontId="0" fillId="33" borderId="21" xfId="0" applyFill="1" applyBorder="1" applyAlignment="1">
      <alignment horizontal="center"/>
    </xf>
    <xf numFmtId="165" fontId="0" fillId="33" borderId="14" xfId="0" applyNumberFormat="1" applyFill="1" applyBorder="1" applyAlignment="1">
      <alignment horizontal="center"/>
    </xf>
    <xf numFmtId="166" fontId="0" fillId="33" borderId="14" xfId="0" applyNumberFormat="1" applyFill="1" applyBorder="1" applyAlignment="1">
      <alignment horizontal="center"/>
    </xf>
    <xf numFmtId="0" fontId="80" fillId="36" borderId="34" xfId="0" applyFont="1" applyFill="1" applyBorder="1" applyAlignment="1">
      <alignment horizontal="center" vertical="center"/>
    </xf>
    <xf numFmtId="0" fontId="88" fillId="36" borderId="34" xfId="0" applyFont="1" applyFill="1" applyBorder="1" applyAlignment="1">
      <alignment horizontal="center" vertical="center"/>
    </xf>
    <xf numFmtId="0" fontId="87" fillId="36" borderId="19" xfId="0" applyFont="1" applyFill="1" applyBorder="1" applyAlignment="1">
      <alignment horizontal="center" vertical="center"/>
    </xf>
    <xf numFmtId="0" fontId="87" fillId="36" borderId="10" xfId="0" applyFont="1" applyFill="1" applyBorder="1" applyAlignment="1">
      <alignment horizontal="center" vertical="center"/>
    </xf>
    <xf numFmtId="0" fontId="87" fillId="36" borderId="11" xfId="0" applyFont="1" applyFill="1" applyBorder="1" applyAlignment="1">
      <alignment horizontal="center" vertical="center"/>
    </xf>
    <xf numFmtId="0" fontId="87" fillId="36" borderId="19" xfId="0" applyFont="1" applyFill="1" applyBorder="1" applyAlignment="1">
      <alignment horizontal="center"/>
    </xf>
    <xf numFmtId="0" fontId="87" fillId="36" borderId="29" xfId="0" applyFont="1" applyFill="1" applyBorder="1" applyAlignment="1">
      <alignment/>
    </xf>
    <xf numFmtId="0" fontId="89" fillId="0" borderId="0" xfId="0" applyFont="1" applyAlignment="1">
      <alignment vertical="center"/>
    </xf>
    <xf numFmtId="0" fontId="89" fillId="0" borderId="0" xfId="0" applyFont="1" applyAlignment="1">
      <alignment horizontal="center" vertical="center"/>
    </xf>
    <xf numFmtId="0" fontId="81" fillId="0" borderId="0" xfId="0" applyFont="1" applyBorder="1" applyAlignment="1">
      <alignment/>
    </xf>
    <xf numFmtId="0" fontId="68" fillId="37" borderId="48" xfId="0" applyFont="1" applyFill="1" applyBorder="1" applyAlignment="1">
      <alignment horizontal="center"/>
    </xf>
    <xf numFmtId="0" fontId="65" fillId="0" borderId="0" xfId="0" applyFont="1" applyAlignment="1" applyProtection="1">
      <alignment vertical="center"/>
      <protection locked="0"/>
    </xf>
    <xf numFmtId="0" fontId="87" fillId="33" borderId="20" xfId="0" applyFont="1" applyFill="1" applyBorder="1" applyAlignment="1">
      <alignment horizontal="center"/>
    </xf>
    <xf numFmtId="2" fontId="0" fillId="0" borderId="0" xfId="0" applyNumberFormat="1" applyBorder="1" applyAlignment="1">
      <alignment horizontal="center" vertical="center"/>
    </xf>
    <xf numFmtId="2" fontId="0" fillId="0" borderId="42" xfId="0" applyNumberFormat="1" applyBorder="1" applyAlignment="1">
      <alignment horizontal="center" vertical="center"/>
    </xf>
    <xf numFmtId="0" fontId="87" fillId="33" borderId="21" xfId="0" applyFont="1" applyFill="1" applyBorder="1" applyAlignment="1">
      <alignment horizontal="center"/>
    </xf>
    <xf numFmtId="2" fontId="0" fillId="0" borderId="40" xfId="0" applyNumberFormat="1" applyBorder="1" applyAlignment="1">
      <alignment horizontal="center" vertical="center"/>
    </xf>
    <xf numFmtId="2" fontId="0" fillId="0" borderId="41" xfId="0" applyNumberFormat="1" applyBorder="1" applyAlignment="1">
      <alignment horizontal="center" vertical="center"/>
    </xf>
    <xf numFmtId="0" fontId="0" fillId="0" borderId="0" xfId="0" applyFill="1" applyAlignment="1">
      <alignment horizontal="center"/>
    </xf>
    <xf numFmtId="0" fontId="0" fillId="0" borderId="0" xfId="0" applyFill="1" applyAlignment="1">
      <alignment/>
    </xf>
    <xf numFmtId="0" fontId="68" fillId="37" borderId="20" xfId="0" applyFont="1" applyFill="1" applyBorder="1" applyAlignment="1">
      <alignment horizontal="center"/>
    </xf>
    <xf numFmtId="0" fontId="80" fillId="38" borderId="12" xfId="0" applyFont="1" applyFill="1" applyBorder="1" applyAlignment="1">
      <alignment horizontal="center"/>
    </xf>
    <xf numFmtId="2" fontId="80" fillId="33" borderId="21" xfId="0" applyNumberFormat="1" applyFont="1" applyFill="1" applyBorder="1" applyAlignment="1">
      <alignment horizontal="center" vertical="center"/>
    </xf>
    <xf numFmtId="2" fontId="87" fillId="33" borderId="14" xfId="0" applyNumberFormat="1" applyFont="1" applyFill="1" applyBorder="1" applyAlignment="1">
      <alignment horizontal="center" vertical="center"/>
    </xf>
    <xf numFmtId="2" fontId="87" fillId="33" borderId="15" xfId="0" applyNumberFormat="1" applyFont="1" applyFill="1" applyBorder="1" applyAlignment="1">
      <alignment horizontal="center" vertical="center"/>
    </xf>
    <xf numFmtId="0" fontId="24" fillId="38" borderId="13" xfId="0" applyFont="1" applyFill="1" applyBorder="1" applyAlignment="1">
      <alignment horizontal="center"/>
    </xf>
    <xf numFmtId="0" fontId="80" fillId="0" borderId="19" xfId="0" applyFont="1" applyFill="1" applyBorder="1" applyAlignment="1">
      <alignment horizontal="center" vertical="center"/>
    </xf>
    <xf numFmtId="0" fontId="0" fillId="33" borderId="49" xfId="0" applyFill="1" applyBorder="1" applyAlignment="1">
      <alignment horizontal="center" vertical="center"/>
    </xf>
    <xf numFmtId="2" fontId="0" fillId="33" borderId="49" xfId="0" applyNumberFormat="1" applyFill="1" applyBorder="1" applyAlignment="1">
      <alignment horizontal="center" vertical="center"/>
    </xf>
    <xf numFmtId="2" fontId="18" fillId="33" borderId="49" xfId="0" applyNumberFormat="1" applyFont="1" applyFill="1" applyBorder="1" applyAlignment="1">
      <alignment horizontal="center" vertical="center"/>
    </xf>
    <xf numFmtId="2" fontId="80" fillId="5" borderId="50" xfId="0" applyNumberFormat="1" applyFont="1" applyFill="1" applyBorder="1" applyAlignment="1">
      <alignment horizontal="center" vertical="center"/>
    </xf>
    <xf numFmtId="0" fontId="0" fillId="0" borderId="39" xfId="0" applyBorder="1" applyAlignment="1">
      <alignment horizontal="center" vertical="center"/>
    </xf>
    <xf numFmtId="2" fontId="0" fillId="0" borderId="42" xfId="0" applyNumberFormat="1" applyFill="1" applyBorder="1" applyAlignment="1">
      <alignment horizontal="center" vertical="center"/>
    </xf>
    <xf numFmtId="0" fontId="0" fillId="0" borderId="51" xfId="0" applyBorder="1" applyAlignment="1">
      <alignment horizontal="center" vertical="center"/>
    </xf>
    <xf numFmtId="0" fontId="0" fillId="0" borderId="40" xfId="0" applyFill="1" applyBorder="1" applyAlignment="1">
      <alignment horizontal="center" vertical="center"/>
    </xf>
    <xf numFmtId="2" fontId="0" fillId="0" borderId="40" xfId="0" applyNumberFormat="1" applyFill="1" applyBorder="1" applyAlignment="1">
      <alignment horizontal="center" vertical="center"/>
    </xf>
    <xf numFmtId="2" fontId="0" fillId="0" borderId="41" xfId="0" applyNumberFormat="1" applyFill="1" applyBorder="1" applyAlignment="1">
      <alignment horizontal="center" vertical="center"/>
    </xf>
    <xf numFmtId="0" fontId="0" fillId="0" borderId="0" xfId="0" applyFill="1" applyAlignment="1">
      <alignment horizontal="center" vertical="center"/>
    </xf>
    <xf numFmtId="0" fontId="80" fillId="36" borderId="52" xfId="0" applyFont="1" applyFill="1" applyBorder="1" applyAlignment="1">
      <alignment horizontal="center" vertical="center"/>
    </xf>
    <xf numFmtId="0" fontId="87" fillId="36" borderId="25" xfId="0" applyFont="1" applyFill="1" applyBorder="1" applyAlignment="1">
      <alignment horizontal="center"/>
    </xf>
    <xf numFmtId="0" fontId="80" fillId="19" borderId="52" xfId="0" applyFont="1" applyFill="1" applyBorder="1" applyAlignment="1">
      <alignment horizontal="center" vertical="center"/>
    </xf>
    <xf numFmtId="0" fontId="87" fillId="36" borderId="53" xfId="0" applyFont="1" applyFill="1" applyBorder="1" applyAlignment="1">
      <alignment horizontal="center"/>
    </xf>
    <xf numFmtId="0" fontId="87" fillId="36" borderId="23" xfId="0" applyFont="1" applyFill="1" applyBorder="1" applyAlignment="1">
      <alignment horizontal="center"/>
    </xf>
    <xf numFmtId="2" fontId="0" fillId="0" borderId="49" xfId="0" applyNumberFormat="1" applyBorder="1" applyAlignment="1">
      <alignment horizontal="center" vertical="center"/>
    </xf>
    <xf numFmtId="2" fontId="0" fillId="0" borderId="50" xfId="0" applyNumberFormat="1" applyBorder="1" applyAlignment="1">
      <alignment horizontal="center" vertical="center"/>
    </xf>
    <xf numFmtId="0" fontId="80" fillId="0" borderId="39" xfId="0" applyFont="1" applyBorder="1" applyAlignment="1">
      <alignment horizontal="center" vertical="center"/>
    </xf>
    <xf numFmtId="0" fontId="80" fillId="0" borderId="51" xfId="0" applyFont="1" applyBorder="1" applyAlignment="1">
      <alignment horizontal="center" vertical="center"/>
    </xf>
    <xf numFmtId="2" fontId="80" fillId="0" borderId="50" xfId="0" applyNumberFormat="1" applyFont="1" applyBorder="1" applyAlignment="1">
      <alignment horizontal="center" vertical="center"/>
    </xf>
    <xf numFmtId="0" fontId="0" fillId="0" borderId="39" xfId="0" applyBorder="1" applyAlignment="1">
      <alignment horizontal="center"/>
    </xf>
    <xf numFmtId="2" fontId="80" fillId="0" borderId="42" xfId="0" applyNumberFormat="1" applyFont="1" applyBorder="1" applyAlignment="1">
      <alignment horizontal="center" vertical="center"/>
    </xf>
    <xf numFmtId="0" fontId="0" fillId="0" borderId="51" xfId="0" applyBorder="1" applyAlignment="1">
      <alignment horizontal="center"/>
    </xf>
    <xf numFmtId="2" fontId="80" fillId="0" borderId="41" xfId="0" applyNumberFormat="1" applyFont="1" applyBorder="1" applyAlignment="1">
      <alignment horizontal="center" vertical="center"/>
    </xf>
    <xf numFmtId="2" fontId="0" fillId="8" borderId="42" xfId="0" applyNumberFormat="1" applyFill="1" applyBorder="1" applyAlignment="1">
      <alignment horizontal="center" vertical="center"/>
    </xf>
    <xf numFmtId="2" fontId="0" fillId="8" borderId="41" xfId="0" applyNumberFormat="1" applyFill="1" applyBorder="1" applyAlignment="1">
      <alignment horizontal="center" vertical="center"/>
    </xf>
    <xf numFmtId="2" fontId="0" fillId="3" borderId="52" xfId="0" applyNumberFormat="1" applyFill="1" applyBorder="1" applyAlignment="1">
      <alignment horizontal="center" vertical="center"/>
    </xf>
    <xf numFmtId="2" fontId="0" fillId="10" borderId="52" xfId="0" applyNumberFormat="1" applyFill="1" applyBorder="1" applyAlignment="1">
      <alignment horizontal="center" vertical="center"/>
    </xf>
    <xf numFmtId="2" fontId="0" fillId="11" borderId="52" xfId="0" applyNumberFormat="1" applyFill="1" applyBorder="1" applyAlignment="1">
      <alignment horizontal="center" vertical="center"/>
    </xf>
    <xf numFmtId="0" fontId="80" fillId="15" borderId="17" xfId="0" applyFont="1" applyFill="1" applyBorder="1" applyAlignment="1">
      <alignment horizontal="center"/>
    </xf>
    <xf numFmtId="0" fontId="80" fillId="16" borderId="17" xfId="0" applyFont="1" applyFill="1" applyBorder="1" applyAlignment="1">
      <alignment horizontal="center"/>
    </xf>
    <xf numFmtId="0" fontId="80" fillId="17" borderId="17" xfId="0" applyFont="1" applyFill="1" applyBorder="1" applyAlignment="1">
      <alignment horizontal="center"/>
    </xf>
    <xf numFmtId="0" fontId="24" fillId="14" borderId="18" xfId="0" applyFont="1" applyFill="1" applyBorder="1" applyAlignment="1">
      <alignment horizontal="center"/>
    </xf>
    <xf numFmtId="0" fontId="87" fillId="33" borderId="19" xfId="0" applyFont="1" applyFill="1" applyBorder="1" applyAlignment="1">
      <alignment horizontal="center"/>
    </xf>
    <xf numFmtId="0" fontId="0" fillId="3" borderId="23" xfId="0" applyFill="1" applyBorder="1" applyAlignment="1">
      <alignment horizontal="center"/>
    </xf>
    <xf numFmtId="0" fontId="0" fillId="10" borderId="23" xfId="0" applyFill="1" applyBorder="1" applyAlignment="1">
      <alignment horizontal="center"/>
    </xf>
    <xf numFmtId="0" fontId="0" fillId="11" borderId="23" xfId="0" applyFill="1" applyBorder="1" applyAlignment="1">
      <alignment horizontal="center"/>
    </xf>
    <xf numFmtId="0" fontId="0" fillId="8" borderId="50" xfId="0" applyFill="1" applyBorder="1" applyAlignment="1">
      <alignment horizontal="center"/>
    </xf>
    <xf numFmtId="2" fontId="0" fillId="3" borderId="54" xfId="0" applyNumberFormat="1" applyFill="1" applyBorder="1" applyAlignment="1">
      <alignment horizontal="center" vertical="center"/>
    </xf>
    <xf numFmtId="2" fontId="0" fillId="10" borderId="54" xfId="0" applyNumberFormat="1" applyFill="1" applyBorder="1" applyAlignment="1">
      <alignment horizontal="center" vertical="center"/>
    </xf>
    <xf numFmtId="2" fontId="0" fillId="11" borderId="54" xfId="0" applyNumberFormat="1" applyFill="1" applyBorder="1" applyAlignment="1">
      <alignment horizontal="center" vertical="center"/>
    </xf>
    <xf numFmtId="0" fontId="0" fillId="0" borderId="27"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6" xfId="0" applyBorder="1" applyAlignment="1">
      <alignment horizontal="left" wrapText="1"/>
    </xf>
    <xf numFmtId="0" fontId="0" fillId="0" borderId="0" xfId="0" applyBorder="1" applyAlignment="1">
      <alignment horizontal="left" wrapText="1"/>
    </xf>
    <xf numFmtId="0" fontId="0" fillId="0" borderId="57" xfId="0" applyBorder="1" applyAlignment="1">
      <alignment horizontal="left" wrapText="1"/>
    </xf>
    <xf numFmtId="0" fontId="0" fillId="0" borderId="48" xfId="0" applyBorder="1" applyAlignment="1">
      <alignment/>
    </xf>
    <xf numFmtId="0" fontId="0" fillId="0" borderId="58" xfId="0" applyBorder="1" applyAlignment="1">
      <alignment/>
    </xf>
    <xf numFmtId="0" fontId="87" fillId="36" borderId="12" xfId="0" applyFont="1" applyFill="1" applyBorder="1" applyAlignment="1">
      <alignment horizontal="center"/>
    </xf>
    <xf numFmtId="0" fontId="0" fillId="33" borderId="12" xfId="0" applyFill="1" applyBorder="1" applyAlignment="1">
      <alignment horizontal="center"/>
    </xf>
    <xf numFmtId="0" fontId="0" fillId="33" borderId="30" xfId="0" applyFill="1" applyBorder="1" applyAlignment="1">
      <alignment horizontal="center"/>
    </xf>
    <xf numFmtId="0" fontId="80" fillId="0" borderId="56" xfId="0" applyFont="1" applyBorder="1" applyAlignment="1">
      <alignment/>
    </xf>
    <xf numFmtId="0" fontId="0" fillId="39" borderId="12" xfId="0" applyFill="1" applyBorder="1" applyAlignment="1">
      <alignment horizontal="center"/>
    </xf>
    <xf numFmtId="0" fontId="0" fillId="0" borderId="0" xfId="0" applyAlignment="1" applyProtection="1">
      <alignment/>
      <protection/>
    </xf>
    <xf numFmtId="0" fontId="65" fillId="0" borderId="0" xfId="0" applyFont="1" applyBorder="1" applyAlignment="1" applyProtection="1">
      <alignment vertical="center"/>
      <protection/>
    </xf>
    <xf numFmtId="0" fontId="80" fillId="36" borderId="34" xfId="0" applyFont="1" applyFill="1" applyBorder="1" applyAlignment="1" applyProtection="1">
      <alignment horizontal="center" vertical="center"/>
      <protection/>
    </xf>
    <xf numFmtId="0" fontId="80" fillId="36" borderId="59" xfId="0" applyFont="1" applyFill="1" applyBorder="1" applyAlignment="1" applyProtection="1">
      <alignment horizontal="center"/>
      <protection/>
    </xf>
    <xf numFmtId="0" fontId="65" fillId="0" borderId="0" xfId="0" applyFont="1" applyBorder="1" applyAlignment="1" applyProtection="1">
      <alignment/>
      <protection/>
    </xf>
    <xf numFmtId="0" fontId="80" fillId="34" borderId="35"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65" fillId="0" borderId="39" xfId="0" applyNumberFormat="1" applyFont="1" applyBorder="1" applyAlignment="1" applyProtection="1">
      <alignment horizontal="center" vertical="center"/>
      <protection/>
    </xf>
    <xf numFmtId="167" fontId="0" fillId="0" borderId="0" xfId="0" applyNumberFormat="1" applyBorder="1" applyAlignment="1" applyProtection="1">
      <alignment horizontal="center" vertical="center"/>
      <protection/>
    </xf>
    <xf numFmtId="0" fontId="65" fillId="40" borderId="12" xfId="0" applyNumberFormat="1" applyFont="1" applyFill="1" applyBorder="1" applyAlignment="1" applyProtection="1">
      <alignment horizontal="center"/>
      <protection/>
    </xf>
    <xf numFmtId="167" fontId="0" fillId="0" borderId="0" xfId="0" applyNumberFormat="1" applyBorder="1" applyAlignment="1" applyProtection="1">
      <alignment/>
      <protection/>
    </xf>
    <xf numFmtId="0" fontId="0" fillId="0" borderId="42" xfId="0" applyBorder="1" applyAlignment="1" applyProtection="1">
      <alignment/>
      <protection/>
    </xf>
    <xf numFmtId="0" fontId="65" fillId="0" borderId="0" xfId="0" applyFont="1" applyAlignment="1" applyProtection="1">
      <alignment/>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164" fontId="0" fillId="0" borderId="0" xfId="0" applyNumberFormat="1" applyBorder="1" applyAlignment="1" applyProtection="1">
      <alignment horizontal="center" vertical="center"/>
      <protection/>
    </xf>
    <xf numFmtId="0" fontId="65" fillId="0" borderId="0" xfId="0" applyFont="1" applyBorder="1" applyAlignment="1" applyProtection="1">
      <alignment horizontal="left" vertical="center"/>
      <protection/>
    </xf>
    <xf numFmtId="0" fontId="80" fillId="34" borderId="36" xfId="0" applyFont="1" applyFill="1" applyBorder="1" applyAlignment="1" applyProtection="1">
      <alignment horizontal="center" vertical="center"/>
      <protection/>
    </xf>
    <xf numFmtId="0" fontId="65" fillId="0" borderId="39" xfId="0" applyFont="1" applyBorder="1" applyAlignment="1" applyProtection="1">
      <alignment horizontal="center" vertical="center"/>
      <protection/>
    </xf>
    <xf numFmtId="0" fontId="18" fillId="0" borderId="12" xfId="0" applyNumberFormat="1" applyFont="1" applyFill="1" applyBorder="1" applyAlignment="1" applyProtection="1">
      <alignment horizontal="center"/>
      <protection/>
    </xf>
    <xf numFmtId="0" fontId="65" fillId="0" borderId="0" xfId="0" applyFont="1" applyAlignment="1" applyProtection="1">
      <alignment vertical="center"/>
      <protection/>
    </xf>
    <xf numFmtId="0" fontId="90" fillId="0" borderId="0" xfId="0" applyFont="1" applyAlignment="1" applyProtection="1">
      <alignment horizontal="center" vertical="center"/>
      <protection/>
    </xf>
    <xf numFmtId="0" fontId="0" fillId="0" borderId="0" xfId="0" applyAlignment="1" applyProtection="1">
      <alignment vertical="center"/>
      <protection/>
    </xf>
    <xf numFmtId="0" fontId="65" fillId="0" borderId="0" xfId="0" applyFont="1" applyFill="1" applyBorder="1" applyAlignment="1" applyProtection="1">
      <alignment horizontal="center" vertical="center"/>
      <protection/>
    </xf>
    <xf numFmtId="0" fontId="68" fillId="0" borderId="0" xfId="0" applyFont="1" applyBorder="1" applyAlignment="1" applyProtection="1">
      <alignment vertical="center"/>
      <protection/>
    </xf>
    <xf numFmtId="0" fontId="68" fillId="0" borderId="0" xfId="0" applyFont="1" applyBorder="1" applyAlignment="1" applyProtection="1">
      <alignment horizontal="center" vertical="center"/>
      <protection/>
    </xf>
    <xf numFmtId="0" fontId="65" fillId="0" borderId="0" xfId="0" applyFont="1" applyBorder="1" applyAlignment="1" applyProtection="1">
      <alignment horizontal="center"/>
      <protection/>
    </xf>
    <xf numFmtId="0" fontId="90" fillId="36" borderId="48" xfId="0" applyFont="1" applyFill="1" applyBorder="1" applyAlignment="1" applyProtection="1">
      <alignment horizontal="center" vertical="center"/>
      <protection/>
    </xf>
    <xf numFmtId="2" fontId="0" fillId="33" borderId="54" xfId="0" applyNumberFormat="1" applyFill="1" applyBorder="1" applyAlignment="1" applyProtection="1">
      <alignment horizontal="center" vertical="center"/>
      <protection/>
    </xf>
    <xf numFmtId="2" fontId="0" fillId="33" borderId="60" xfId="0" applyNumberFormat="1" applyFill="1" applyBorder="1" applyAlignment="1" applyProtection="1">
      <alignment horizontal="center" vertical="center"/>
      <protection/>
    </xf>
    <xf numFmtId="0" fontId="91" fillId="0" borderId="0" xfId="0" applyFont="1" applyAlignment="1" applyProtection="1">
      <alignment horizontal="center" vertical="center"/>
      <protection/>
    </xf>
    <xf numFmtId="0" fontId="0" fillId="0" borderId="39" xfId="0" applyBorder="1" applyAlignment="1" applyProtection="1">
      <alignment vertical="center"/>
      <protection/>
    </xf>
    <xf numFmtId="0" fontId="0" fillId="0" borderId="0" xfId="0" applyBorder="1" applyAlignment="1" applyProtection="1">
      <alignment vertical="center"/>
      <protection/>
    </xf>
    <xf numFmtId="0" fontId="0" fillId="0" borderId="42" xfId="0" applyBorder="1" applyAlignment="1" applyProtection="1">
      <alignment vertical="center"/>
      <protection/>
    </xf>
    <xf numFmtId="0" fontId="65" fillId="0" borderId="0" xfId="0" applyFont="1" applyAlignment="1" applyProtection="1">
      <alignment horizontal="center" vertical="center"/>
      <protection/>
    </xf>
    <xf numFmtId="0" fontId="0" fillId="0" borderId="51" xfId="0"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2" fontId="65" fillId="0" borderId="0" xfId="0" applyNumberFormat="1" applyFont="1" applyBorder="1" applyAlignment="1" applyProtection="1">
      <alignment horizontal="center" vertical="center"/>
      <protection/>
    </xf>
    <xf numFmtId="0" fontId="80" fillId="34" borderId="38" xfId="0" applyFont="1" applyFill="1" applyBorder="1" applyAlignment="1" applyProtection="1">
      <alignment horizontal="center" vertical="center"/>
      <protection/>
    </xf>
    <xf numFmtId="0" fontId="65" fillId="0" borderId="51" xfId="0" applyFont="1" applyBorder="1" applyAlignment="1" applyProtection="1">
      <alignment horizontal="center" vertical="center"/>
      <protection/>
    </xf>
    <xf numFmtId="167" fontId="0" fillId="0" borderId="40" xfId="0" applyNumberFormat="1" applyBorder="1" applyAlignment="1" applyProtection="1">
      <alignment horizontal="center" vertical="center"/>
      <protection/>
    </xf>
    <xf numFmtId="0" fontId="18" fillId="0" borderId="14" xfId="0" applyNumberFormat="1" applyFont="1" applyFill="1" applyBorder="1" applyAlignment="1" applyProtection="1">
      <alignment horizontal="center"/>
      <protection/>
    </xf>
    <xf numFmtId="167" fontId="0" fillId="0" borderId="40" xfId="0" applyNumberFormat="1" applyBorder="1" applyAlignment="1" applyProtection="1">
      <alignment/>
      <protection/>
    </xf>
    <xf numFmtId="0" fontId="0" fillId="0" borderId="41" xfId="0"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12" xfId="0" applyBorder="1" applyAlignment="1" applyProtection="1">
      <alignment horizontal="center"/>
      <protection locked="0"/>
    </xf>
    <xf numFmtId="0" fontId="0" fillId="0" borderId="17" xfId="0" applyBorder="1" applyAlignment="1" applyProtection="1">
      <alignment horizontal="center" vertical="center"/>
      <protection locked="0"/>
    </xf>
    <xf numFmtId="164" fontId="0" fillId="0" borderId="18"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2" xfId="0" applyFill="1" applyBorder="1" applyAlignment="1" applyProtection="1">
      <alignment horizontal="center"/>
      <protection locked="0"/>
    </xf>
    <xf numFmtId="0" fontId="0" fillId="0" borderId="14" xfId="0" applyBorder="1" applyAlignment="1" applyProtection="1">
      <alignment horizontal="center"/>
      <protection locked="0"/>
    </xf>
    <xf numFmtId="0" fontId="80" fillId="41" borderId="15" xfId="0" applyFont="1" applyFill="1" applyBorder="1" applyAlignment="1" applyProtection="1">
      <alignment horizontal="center" vertical="center"/>
      <protection locked="0"/>
    </xf>
    <xf numFmtId="2" fontId="65" fillId="0" borderId="0" xfId="0" applyNumberFormat="1" applyFont="1" applyAlignment="1" applyProtection="1">
      <alignment vertical="center"/>
      <protection/>
    </xf>
    <xf numFmtId="2" fontId="0" fillId="0" borderId="0" xfId="0" applyNumberFormat="1" applyFont="1" applyAlignment="1" applyProtection="1">
      <alignment horizontal="center" vertical="center"/>
      <protection/>
    </xf>
    <xf numFmtId="2" fontId="68" fillId="0" borderId="0" xfId="0" applyNumberFormat="1" applyFont="1" applyFill="1" applyAlignment="1" applyProtection="1">
      <alignment horizontal="center" vertical="center"/>
      <protection locked="0"/>
    </xf>
    <xf numFmtId="0" fontId="0" fillId="33" borderId="46" xfId="0" applyFill="1" applyBorder="1" applyAlignment="1">
      <alignment horizontal="center" vertical="center"/>
    </xf>
    <xf numFmtId="0" fontId="87" fillId="36" borderId="52" xfId="0" applyFont="1" applyFill="1" applyBorder="1" applyAlignment="1">
      <alignment horizontal="center"/>
    </xf>
    <xf numFmtId="1" fontId="0" fillId="0" borderId="49" xfId="0" applyNumberFormat="1" applyBorder="1" applyAlignment="1">
      <alignment horizontal="center" vertical="center"/>
    </xf>
    <xf numFmtId="1" fontId="0" fillId="0" borderId="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80" fillId="36" borderId="34" xfId="0" applyFont="1" applyFill="1" applyBorder="1" applyAlignment="1">
      <alignment horizontal="center" vertical="center"/>
    </xf>
    <xf numFmtId="0" fontId="65" fillId="0" borderId="0" xfId="0" applyFont="1" applyAlignment="1">
      <alignment horizontal="center"/>
    </xf>
    <xf numFmtId="0" fontId="80" fillId="36" borderId="56" xfId="0" applyFont="1" applyFill="1" applyBorder="1" applyAlignment="1">
      <alignment horizontal="center" vertical="center"/>
    </xf>
    <xf numFmtId="0" fontId="87" fillId="36" borderId="34" xfId="0" applyFont="1" applyFill="1" applyBorder="1" applyAlignment="1">
      <alignment horizontal="center"/>
    </xf>
    <xf numFmtId="0" fontId="80" fillId="14" borderId="34" xfId="0" applyFont="1" applyFill="1" applyBorder="1" applyAlignment="1">
      <alignment horizontal="center" vertical="center"/>
    </xf>
    <xf numFmtId="0" fontId="80" fillId="41" borderId="34" xfId="0" applyFont="1" applyFill="1" applyBorder="1" applyAlignment="1" applyProtection="1">
      <alignment horizontal="center"/>
      <protection locked="0"/>
    </xf>
    <xf numFmtId="0" fontId="65" fillId="0" borderId="0" xfId="0" applyFont="1" applyBorder="1" applyAlignment="1">
      <alignment/>
    </xf>
    <xf numFmtId="0" fontId="68" fillId="0" borderId="0" xfId="0" applyFont="1" applyBorder="1" applyAlignment="1">
      <alignment vertical="center"/>
    </xf>
    <xf numFmtId="0" fontId="68" fillId="35" borderId="0" xfId="0" applyFont="1" applyFill="1" applyBorder="1" applyAlignment="1">
      <alignment horizontal="center"/>
    </xf>
    <xf numFmtId="0" fontId="65" fillId="0" borderId="0" xfId="0" applyFont="1" applyBorder="1" applyAlignment="1">
      <alignment vertical="center"/>
    </xf>
    <xf numFmtId="0" fontId="65" fillId="0" borderId="0" xfId="0" applyFont="1" applyBorder="1" applyAlignment="1" applyProtection="1">
      <alignment horizontal="center" vertical="center"/>
      <protection/>
    </xf>
    <xf numFmtId="0" fontId="74" fillId="0" borderId="0" xfId="0" applyFont="1" applyAlignment="1">
      <alignment/>
    </xf>
    <xf numFmtId="0" fontId="65" fillId="0" borderId="0" xfId="0" applyFont="1" applyBorder="1" applyAlignment="1" applyProtection="1">
      <alignment/>
      <protection locked="0"/>
    </xf>
    <xf numFmtId="0" fontId="65" fillId="0" borderId="0" xfId="0" applyFont="1" applyBorder="1" applyAlignment="1" applyProtection="1">
      <alignment horizontal="center" vertical="center"/>
      <protection/>
    </xf>
    <xf numFmtId="0" fontId="92" fillId="0" borderId="0" xfId="0" applyFont="1" applyBorder="1" applyAlignment="1" applyProtection="1">
      <alignment/>
      <protection/>
    </xf>
    <xf numFmtId="0" fontId="93" fillId="0" borderId="0" xfId="0" applyNumberFormat="1" applyFont="1" applyBorder="1" applyAlignment="1" applyProtection="1">
      <alignment vertical="center"/>
      <protection/>
    </xf>
    <xf numFmtId="0" fontId="93" fillId="0" borderId="0" xfId="0" applyNumberFormat="1" applyFont="1" applyBorder="1" applyAlignment="1" applyProtection="1">
      <alignment horizontal="center" vertical="center"/>
      <protection/>
    </xf>
    <xf numFmtId="0" fontId="92" fillId="0" borderId="0" xfId="0" applyFont="1" applyBorder="1" applyAlignment="1" applyProtection="1">
      <alignment vertical="center"/>
      <protection/>
    </xf>
    <xf numFmtId="0" fontId="92" fillId="0" borderId="0" xfId="0" applyFont="1" applyAlignment="1" applyProtection="1">
      <alignment/>
      <protection/>
    </xf>
    <xf numFmtId="0" fontId="92" fillId="0" borderId="0" xfId="0" applyFont="1" applyAlignment="1" applyProtection="1">
      <alignment vertical="center"/>
      <protection/>
    </xf>
    <xf numFmtId="0" fontId="92" fillId="0" borderId="0" xfId="0" applyFont="1" applyAlignment="1">
      <alignment vertical="center"/>
    </xf>
    <xf numFmtId="0" fontId="92" fillId="0" borderId="0" xfId="0" applyFont="1" applyAlignment="1">
      <alignment/>
    </xf>
    <xf numFmtId="0" fontId="92" fillId="0" borderId="0" xfId="0" applyFont="1" applyAlignment="1">
      <alignment horizontal="center" vertical="center"/>
    </xf>
    <xf numFmtId="0" fontId="92" fillId="0" borderId="0" xfId="0" applyFont="1" applyAlignment="1">
      <alignment horizontal="center"/>
    </xf>
    <xf numFmtId="0" fontId="79" fillId="0" borderId="0" xfId="0" applyFont="1" applyAlignment="1">
      <alignment horizontal="center"/>
    </xf>
    <xf numFmtId="0" fontId="92" fillId="0" borderId="0" xfId="0" applyFont="1" applyBorder="1" applyAlignment="1">
      <alignment/>
    </xf>
    <xf numFmtId="0" fontId="94" fillId="0" borderId="0" xfId="0" applyFont="1" applyBorder="1" applyAlignment="1">
      <alignment/>
    </xf>
    <xf numFmtId="0" fontId="65" fillId="0" borderId="0" xfId="0" applyFont="1" applyBorder="1" applyAlignment="1">
      <alignment horizontal="center" vertical="center"/>
    </xf>
    <xf numFmtId="0" fontId="92" fillId="0" borderId="0" xfId="0" applyFont="1" applyAlignment="1" applyProtection="1">
      <alignment horizontal="center" vertical="center"/>
      <protection/>
    </xf>
    <xf numFmtId="0" fontId="95" fillId="0" borderId="0" xfId="0" applyFont="1" applyAlignment="1">
      <alignment/>
    </xf>
    <xf numFmtId="0" fontId="0" fillId="35" borderId="0" xfId="0" applyFill="1" applyAlignment="1">
      <alignment/>
    </xf>
    <xf numFmtId="0" fontId="96" fillId="35" borderId="0" xfId="0" applyFont="1" applyFill="1" applyAlignment="1">
      <alignment/>
    </xf>
    <xf numFmtId="0" fontId="97" fillId="35" borderId="0" xfId="0" applyFont="1" applyFill="1" applyAlignment="1">
      <alignment/>
    </xf>
    <xf numFmtId="0" fontId="97" fillId="35" borderId="0" xfId="0" applyFont="1" applyFill="1" applyAlignment="1">
      <alignment horizontal="center" vertical="center"/>
    </xf>
    <xf numFmtId="2" fontId="98" fillId="35" borderId="0" xfId="0" applyNumberFormat="1" applyFont="1" applyFill="1" applyAlignment="1">
      <alignment/>
    </xf>
    <xf numFmtId="0" fontId="95" fillId="35" borderId="0" xfId="0" applyFont="1" applyFill="1" applyAlignment="1">
      <alignment/>
    </xf>
    <xf numFmtId="2" fontId="0" fillId="35" borderId="0" xfId="0" applyNumberFormat="1" applyFill="1" applyAlignment="1">
      <alignment/>
    </xf>
    <xf numFmtId="0" fontId="95" fillId="35" borderId="0" xfId="0" applyFont="1" applyFill="1" applyAlignment="1">
      <alignment horizontal="center"/>
    </xf>
    <xf numFmtId="0" fontId="99" fillId="35" borderId="0" xfId="0" applyFont="1" applyFill="1" applyAlignment="1">
      <alignment horizontal="center"/>
    </xf>
    <xf numFmtId="0" fontId="98" fillId="35" borderId="0" xfId="0" applyFont="1" applyFill="1" applyAlignment="1">
      <alignment horizontal="center"/>
    </xf>
    <xf numFmtId="0" fontId="96" fillId="35" borderId="0" xfId="0" applyFont="1" applyFill="1" applyAlignment="1">
      <alignment horizontal="left"/>
    </xf>
    <xf numFmtId="0" fontId="95" fillId="0" borderId="0" xfId="0" applyFont="1" applyFill="1" applyAlignment="1">
      <alignment/>
    </xf>
    <xf numFmtId="0" fontId="95" fillId="35" borderId="56" xfId="0" applyFont="1" applyFill="1" applyBorder="1" applyAlignment="1">
      <alignment horizontal="center"/>
    </xf>
    <xf numFmtId="0" fontId="95" fillId="35" borderId="0" xfId="0" applyFont="1" applyFill="1" applyBorder="1" applyAlignment="1">
      <alignment horizontal="center"/>
    </xf>
    <xf numFmtId="0" fontId="95" fillId="35" borderId="0" xfId="0" applyFont="1" applyFill="1" applyBorder="1" applyAlignment="1">
      <alignment/>
    </xf>
    <xf numFmtId="164" fontId="95" fillId="35" borderId="56" xfId="0" applyNumberFormat="1" applyFont="1" applyFill="1" applyBorder="1" applyAlignment="1">
      <alignment horizontal="center"/>
    </xf>
    <xf numFmtId="2" fontId="95" fillId="35" borderId="0" xfId="0" applyNumberFormat="1" applyFont="1" applyFill="1" applyBorder="1" applyAlignment="1">
      <alignment horizontal="center"/>
    </xf>
    <xf numFmtId="0" fontId="95" fillId="35" borderId="57" xfId="0" applyFont="1" applyFill="1" applyBorder="1" applyAlignment="1">
      <alignment/>
    </xf>
    <xf numFmtId="0" fontId="95" fillId="35" borderId="57" xfId="0" applyFont="1" applyFill="1" applyBorder="1" applyAlignment="1">
      <alignment horizontal="center"/>
    </xf>
    <xf numFmtId="0" fontId="95" fillId="35" borderId="62" xfId="0" applyFont="1" applyFill="1" applyBorder="1" applyAlignment="1">
      <alignment horizontal="center"/>
    </xf>
    <xf numFmtId="0" fontId="95" fillId="35" borderId="26" xfId="0" applyFont="1" applyFill="1" applyBorder="1" applyAlignment="1">
      <alignment horizontal="center"/>
    </xf>
    <xf numFmtId="0" fontId="95" fillId="35" borderId="63" xfId="0" applyFont="1" applyFill="1" applyBorder="1" applyAlignment="1">
      <alignment horizontal="center"/>
    </xf>
    <xf numFmtId="0" fontId="18" fillId="0" borderId="0" xfId="0" applyFont="1" applyFill="1" applyAlignment="1">
      <alignment/>
    </xf>
    <xf numFmtId="0" fontId="44" fillId="0" borderId="0" xfId="0" applyFont="1" applyBorder="1" applyAlignment="1">
      <alignment horizontal="center"/>
    </xf>
    <xf numFmtId="0" fontId="45" fillId="0" borderId="0" xfId="0" applyFont="1" applyBorder="1" applyAlignment="1">
      <alignment vertical="center"/>
    </xf>
    <xf numFmtId="0" fontId="44" fillId="0" borderId="0" xfId="0" applyFont="1" applyFill="1" applyAlignment="1">
      <alignment/>
    </xf>
    <xf numFmtId="0" fontId="44" fillId="0" borderId="0" xfId="0" applyFont="1" applyBorder="1" applyAlignment="1">
      <alignment vertical="center"/>
    </xf>
    <xf numFmtId="0" fontId="44" fillId="0" borderId="0" xfId="0" applyFont="1" applyBorder="1" applyAlignment="1">
      <alignment/>
    </xf>
    <xf numFmtId="2" fontId="95" fillId="35" borderId="64" xfId="0" applyNumberFormat="1" applyFont="1" applyFill="1" applyBorder="1" applyAlignment="1">
      <alignment horizontal="center"/>
    </xf>
    <xf numFmtId="0" fontId="0" fillId="35" borderId="0" xfId="0" applyFill="1" applyBorder="1" applyAlignment="1">
      <alignment/>
    </xf>
    <xf numFmtId="0" fontId="95" fillId="35" borderId="26" xfId="0" applyFont="1" applyFill="1" applyBorder="1" applyAlignment="1">
      <alignment/>
    </xf>
    <xf numFmtId="0" fontId="95" fillId="35" borderId="63" xfId="0" applyFont="1" applyFill="1" applyBorder="1" applyAlignment="1">
      <alignment/>
    </xf>
    <xf numFmtId="0" fontId="95" fillId="35" borderId="62" xfId="0" applyFont="1" applyFill="1" applyBorder="1" applyAlignment="1">
      <alignment/>
    </xf>
    <xf numFmtId="0" fontId="95" fillId="35" borderId="56" xfId="0" applyFont="1" applyFill="1" applyBorder="1" applyAlignment="1">
      <alignment horizontal="left"/>
    </xf>
    <xf numFmtId="2" fontId="95" fillId="35" borderId="56" xfId="0" applyNumberFormat="1" applyFont="1" applyFill="1" applyBorder="1" applyAlignment="1">
      <alignment horizontal="center"/>
    </xf>
    <xf numFmtId="2" fontId="95" fillId="35" borderId="57" xfId="0" applyNumberFormat="1" applyFont="1" applyFill="1" applyBorder="1" applyAlignment="1">
      <alignment horizontal="center"/>
    </xf>
    <xf numFmtId="0" fontId="18" fillId="0" borderId="0" xfId="0" applyFont="1" applyBorder="1" applyAlignment="1" applyProtection="1">
      <alignment vertical="center"/>
      <protection/>
    </xf>
    <xf numFmtId="0" fontId="98" fillId="35" borderId="0" xfId="0" applyFont="1" applyFill="1" applyAlignment="1">
      <alignment horizontal="left"/>
    </xf>
    <xf numFmtId="0" fontId="0" fillId="35" borderId="28" xfId="0" applyFill="1" applyBorder="1" applyAlignment="1">
      <alignment/>
    </xf>
    <xf numFmtId="0" fontId="0" fillId="35" borderId="64" xfId="0" applyFill="1" applyBorder="1" applyAlignment="1">
      <alignment/>
    </xf>
    <xf numFmtId="0" fontId="0" fillId="35" borderId="65" xfId="0" applyFill="1" applyBorder="1" applyAlignment="1">
      <alignment/>
    </xf>
    <xf numFmtId="164" fontId="95" fillId="35" borderId="57" xfId="0" applyNumberFormat="1" applyFont="1" applyFill="1" applyBorder="1" applyAlignment="1">
      <alignment horizontal="center"/>
    </xf>
    <xf numFmtId="164" fontId="95" fillId="35" borderId="0" xfId="0" applyNumberFormat="1" applyFont="1" applyFill="1" applyBorder="1" applyAlignment="1">
      <alignment horizontal="center"/>
    </xf>
    <xf numFmtId="1" fontId="95" fillId="35" borderId="28" xfId="0" applyNumberFormat="1" applyFont="1" applyFill="1" applyBorder="1" applyAlignment="1">
      <alignment horizontal="center"/>
    </xf>
    <xf numFmtId="1" fontId="95" fillId="35" borderId="56" xfId="0" applyNumberFormat="1" applyFont="1" applyFill="1" applyBorder="1" applyAlignment="1">
      <alignment horizontal="center"/>
    </xf>
    <xf numFmtId="0" fontId="82" fillId="0" borderId="0" xfId="0" applyFont="1" applyAlignment="1">
      <alignment horizontal="center"/>
    </xf>
    <xf numFmtId="0" fontId="81" fillId="0" borderId="0" xfId="0" applyFont="1" applyAlignment="1">
      <alignment horizontal="center"/>
    </xf>
    <xf numFmtId="0" fontId="83" fillId="0" borderId="0" xfId="0" applyFont="1" applyAlignment="1">
      <alignment horizontal="center"/>
    </xf>
    <xf numFmtId="0" fontId="100" fillId="0" borderId="0" xfId="0" applyFont="1" applyBorder="1" applyAlignment="1">
      <alignment horizontal="center" vertical="center" wrapText="1"/>
    </xf>
    <xf numFmtId="0" fontId="87" fillId="0" borderId="0" xfId="0" applyFont="1" applyAlignment="1">
      <alignment horizontal="center"/>
    </xf>
    <xf numFmtId="0" fontId="101" fillId="37" borderId="51" xfId="0" applyFont="1" applyFill="1" applyBorder="1" applyAlignment="1" applyProtection="1">
      <alignment horizontal="center" vertical="center"/>
      <protection/>
    </xf>
    <xf numFmtId="0" fontId="101" fillId="37" borderId="40" xfId="0" applyFont="1" applyFill="1" applyBorder="1" applyAlignment="1" applyProtection="1">
      <alignment horizontal="center" vertical="center"/>
      <protection/>
    </xf>
    <xf numFmtId="0" fontId="101" fillId="37" borderId="48" xfId="0" applyFont="1" applyFill="1" applyBorder="1" applyAlignment="1" applyProtection="1">
      <alignment horizontal="center" vertical="center"/>
      <protection/>
    </xf>
    <xf numFmtId="0" fontId="101" fillId="37" borderId="66" xfId="0" applyFont="1" applyFill="1" applyBorder="1" applyAlignment="1" applyProtection="1">
      <alignment horizontal="center" vertical="center"/>
      <protection/>
    </xf>
    <xf numFmtId="0" fontId="101" fillId="37" borderId="58" xfId="0" applyFont="1" applyFill="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90" fillId="0" borderId="49" xfId="0" applyFont="1" applyBorder="1" applyAlignment="1" applyProtection="1">
      <alignment horizontal="center" vertical="center" wrapText="1"/>
      <protection/>
    </xf>
    <xf numFmtId="0" fontId="74" fillId="0" borderId="40" xfId="0" applyFont="1" applyBorder="1" applyAlignment="1">
      <alignment vertical="center" wrapText="1"/>
    </xf>
    <xf numFmtId="0" fontId="80" fillId="36" borderId="67" xfId="0" applyFont="1" applyFill="1" applyBorder="1" applyAlignment="1" applyProtection="1">
      <alignment horizontal="center" vertical="center"/>
      <protection/>
    </xf>
    <xf numFmtId="0" fontId="80" fillId="36" borderId="50" xfId="0" applyFont="1" applyFill="1" applyBorder="1" applyAlignment="1" applyProtection="1">
      <alignment horizontal="center" vertical="center"/>
      <protection/>
    </xf>
    <xf numFmtId="0" fontId="101" fillId="42" borderId="48" xfId="0" applyFont="1" applyFill="1" applyBorder="1" applyAlignment="1" applyProtection="1">
      <alignment horizontal="center" vertical="center"/>
      <protection/>
    </xf>
    <xf numFmtId="0" fontId="101" fillId="42" borderId="58" xfId="0" applyFont="1" applyFill="1" applyBorder="1" applyAlignment="1" applyProtection="1">
      <alignment horizontal="center" vertical="center"/>
      <protection/>
    </xf>
    <xf numFmtId="0" fontId="0" fillId="0" borderId="67"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102" fillId="43" borderId="67" xfId="0" applyFont="1" applyFill="1" applyBorder="1" applyAlignment="1" applyProtection="1">
      <alignment horizontal="center" vertical="center" wrapText="1"/>
      <protection/>
    </xf>
    <xf numFmtId="0" fontId="101" fillId="43" borderId="49" xfId="0" applyFont="1" applyFill="1" applyBorder="1" applyAlignment="1" applyProtection="1">
      <alignment horizontal="center" vertical="center" wrapText="1"/>
      <protection/>
    </xf>
    <xf numFmtId="0" fontId="101" fillId="43" borderId="50" xfId="0" applyFont="1" applyFill="1" applyBorder="1" applyAlignment="1" applyProtection="1">
      <alignment horizontal="center" vertical="center" wrapText="1"/>
      <protection/>
    </xf>
    <xf numFmtId="0" fontId="101" fillId="43" borderId="39" xfId="0" applyFont="1" applyFill="1" applyBorder="1" applyAlignment="1" applyProtection="1">
      <alignment horizontal="center" vertical="center" wrapText="1"/>
      <protection/>
    </xf>
    <xf numFmtId="0" fontId="101" fillId="43" borderId="0" xfId="0" applyFont="1" applyFill="1" applyBorder="1" applyAlignment="1" applyProtection="1">
      <alignment horizontal="center" vertical="center" wrapText="1"/>
      <protection/>
    </xf>
    <xf numFmtId="0" fontId="101" fillId="43" borderId="42" xfId="0" applyFont="1" applyFill="1" applyBorder="1" applyAlignment="1" applyProtection="1">
      <alignment horizontal="center" vertical="center" wrapText="1"/>
      <protection/>
    </xf>
    <xf numFmtId="0" fontId="85" fillId="35" borderId="0" xfId="0" applyFont="1" applyFill="1" applyAlignment="1">
      <alignment horizontal="center"/>
    </xf>
    <xf numFmtId="0" fontId="85" fillId="35" borderId="0" xfId="0" applyFont="1" applyFill="1" applyAlignment="1">
      <alignment horizontal="center" vertical="center"/>
    </xf>
    <xf numFmtId="0" fontId="96" fillId="35" borderId="0" xfId="0" applyFont="1" applyFill="1" applyBorder="1" applyAlignment="1">
      <alignment horizontal="left"/>
    </xf>
    <xf numFmtId="0" fontId="96" fillId="35" borderId="0" xfId="0" applyFont="1" applyFill="1" applyAlignment="1">
      <alignment horizontal="left"/>
    </xf>
    <xf numFmtId="0" fontId="97" fillId="35" borderId="0" xfId="0" applyFont="1" applyFill="1" applyAlignment="1">
      <alignment horizontal="left" vertical="top" wrapText="1"/>
    </xf>
    <xf numFmtId="0" fontId="103" fillId="35" borderId="63" xfId="0" applyFont="1" applyFill="1" applyBorder="1" applyAlignment="1">
      <alignment horizontal="center" vertical="center"/>
    </xf>
    <xf numFmtId="0" fontId="103" fillId="0" borderId="0" xfId="0" applyFont="1" applyFill="1" applyBorder="1" applyAlignment="1">
      <alignment horizontal="center" vertical="center"/>
    </xf>
    <xf numFmtId="0" fontId="96" fillId="35" borderId="28" xfId="0" applyFont="1" applyFill="1" applyBorder="1" applyAlignment="1">
      <alignment horizontal="center"/>
    </xf>
    <xf numFmtId="0" fontId="96" fillId="35" borderId="64" xfId="0" applyFont="1" applyFill="1" applyBorder="1" applyAlignment="1">
      <alignment horizontal="center"/>
    </xf>
    <xf numFmtId="0" fontId="96" fillId="35" borderId="65" xfId="0" applyFont="1" applyFill="1" applyBorder="1" applyAlignment="1">
      <alignment horizontal="center"/>
    </xf>
    <xf numFmtId="0" fontId="101" fillId="37" borderId="39" xfId="0" applyFont="1" applyFill="1" applyBorder="1" applyAlignment="1">
      <alignment horizontal="center" vertical="center"/>
    </xf>
    <xf numFmtId="0" fontId="101" fillId="37" borderId="0" xfId="0" applyFont="1" applyFill="1" applyBorder="1" applyAlignment="1">
      <alignment horizontal="center" vertical="center"/>
    </xf>
    <xf numFmtId="0" fontId="101" fillId="37" borderId="49" xfId="0" applyFont="1" applyFill="1" applyBorder="1" applyAlignment="1">
      <alignment horizontal="center" vertical="center"/>
    </xf>
    <xf numFmtId="0" fontId="101" fillId="37" borderId="50" xfId="0" applyFont="1" applyFill="1" applyBorder="1" applyAlignment="1">
      <alignment horizontal="center" vertical="center"/>
    </xf>
    <xf numFmtId="0" fontId="102" fillId="37" borderId="51" xfId="0" applyFont="1" applyFill="1" applyBorder="1" applyAlignment="1">
      <alignment horizontal="center"/>
    </xf>
    <xf numFmtId="0" fontId="102" fillId="37" borderId="40" xfId="0" applyFont="1" applyFill="1" applyBorder="1" applyAlignment="1">
      <alignment horizontal="center"/>
    </xf>
    <xf numFmtId="0" fontId="102" fillId="37" borderId="41" xfId="0" applyFont="1" applyFill="1" applyBorder="1" applyAlignment="1">
      <alignment horizontal="center"/>
    </xf>
    <xf numFmtId="0" fontId="104" fillId="44" borderId="48" xfId="0" applyFont="1" applyFill="1" applyBorder="1" applyAlignment="1">
      <alignment horizontal="center"/>
    </xf>
    <xf numFmtId="0" fontId="104" fillId="44" borderId="66" xfId="0" applyFont="1" applyFill="1" applyBorder="1" applyAlignment="1">
      <alignment horizontal="center"/>
    </xf>
    <xf numFmtId="0" fontId="104" fillId="44" borderId="58" xfId="0" applyFont="1" applyFill="1" applyBorder="1" applyAlignment="1">
      <alignment horizontal="center"/>
    </xf>
    <xf numFmtId="0" fontId="0" fillId="33" borderId="27" xfId="0" applyFill="1" applyBorder="1" applyAlignment="1">
      <alignment horizontal="center" vertical="center"/>
    </xf>
    <xf numFmtId="0" fontId="0" fillId="33" borderId="68" xfId="0" applyFill="1" applyBorder="1" applyAlignment="1">
      <alignment horizontal="center" vertical="center"/>
    </xf>
    <xf numFmtId="0" fontId="0" fillId="33" borderId="55" xfId="0" applyFill="1" applyBorder="1" applyAlignment="1">
      <alignment horizontal="center" vertical="center"/>
    </xf>
    <xf numFmtId="0" fontId="87" fillId="36" borderId="29" xfId="0" applyFont="1" applyFill="1" applyBorder="1" applyAlignment="1">
      <alignment horizontal="center" vertical="center"/>
    </xf>
    <xf numFmtId="0" fontId="87" fillId="36" borderId="69" xfId="0" applyFont="1" applyFill="1" applyBorder="1" applyAlignment="1">
      <alignment horizontal="center" vertical="center"/>
    </xf>
    <xf numFmtId="0" fontId="87" fillId="36" borderId="70" xfId="0" applyFont="1" applyFill="1" applyBorder="1" applyAlignment="1">
      <alignment horizontal="center" vertical="center"/>
    </xf>
    <xf numFmtId="0" fontId="87" fillId="36" borderId="12" xfId="0" applyFont="1" applyFill="1" applyBorder="1" applyAlignment="1">
      <alignment horizontal="center"/>
    </xf>
    <xf numFmtId="0" fontId="80" fillId="41" borderId="12" xfId="0" applyFont="1" applyFill="1" applyBorder="1" applyAlignment="1" applyProtection="1">
      <alignment horizontal="center"/>
      <protection locked="0"/>
    </xf>
    <xf numFmtId="0" fontId="104" fillId="45" borderId="48" xfId="0" applyFont="1" applyFill="1" applyBorder="1" applyAlignment="1">
      <alignment horizontal="center"/>
    </xf>
    <xf numFmtId="0" fontId="104" fillId="45" borderId="66" xfId="0" applyFont="1" applyFill="1" applyBorder="1" applyAlignment="1">
      <alignment horizontal="center"/>
    </xf>
    <xf numFmtId="0" fontId="104" fillId="45" borderId="58" xfId="0" applyFont="1" applyFill="1" applyBorder="1" applyAlignment="1">
      <alignment horizontal="center"/>
    </xf>
    <xf numFmtId="0" fontId="102" fillId="37" borderId="29" xfId="0" applyFont="1" applyFill="1" applyBorder="1" applyAlignment="1">
      <alignment horizontal="center"/>
    </xf>
    <xf numFmtId="0" fontId="102" fillId="37" borderId="69" xfId="0" applyFont="1" applyFill="1" applyBorder="1" applyAlignment="1">
      <alignment horizontal="center"/>
    </xf>
    <xf numFmtId="0" fontId="68" fillId="37" borderId="48" xfId="0" applyFont="1" applyFill="1" applyBorder="1" applyAlignment="1">
      <alignment horizontal="center"/>
    </xf>
    <xf numFmtId="0" fontId="68" fillId="37" borderId="58" xfId="0" applyFont="1" applyFill="1" applyBorder="1" applyAlignment="1">
      <alignment horizontal="center"/>
    </xf>
    <xf numFmtId="0" fontId="0" fillId="33" borderId="12" xfId="0" applyFill="1" applyBorder="1" applyAlignment="1">
      <alignment horizontal="center"/>
    </xf>
    <xf numFmtId="0" fontId="101" fillId="37" borderId="48" xfId="0" applyFont="1" applyFill="1" applyBorder="1" applyAlignment="1">
      <alignment horizontal="center" vertical="center"/>
    </xf>
    <xf numFmtId="0" fontId="101" fillId="37" borderId="66" xfId="0" applyFont="1" applyFill="1" applyBorder="1" applyAlignment="1">
      <alignment horizontal="center" vertical="center"/>
    </xf>
    <xf numFmtId="0" fontId="101" fillId="37" borderId="58" xfId="0" applyFont="1" applyFill="1" applyBorder="1" applyAlignment="1">
      <alignment horizontal="center" vertical="center"/>
    </xf>
    <xf numFmtId="0" fontId="102" fillId="37" borderId="48" xfId="0" applyFont="1" applyFill="1" applyBorder="1" applyAlignment="1">
      <alignment horizontal="center"/>
    </xf>
    <xf numFmtId="0" fontId="102" fillId="37" borderId="66" xfId="0" applyFont="1" applyFill="1" applyBorder="1" applyAlignment="1">
      <alignment horizontal="center"/>
    </xf>
    <xf numFmtId="0" fontId="102" fillId="37" borderId="58" xfId="0" applyFont="1" applyFill="1" applyBorder="1" applyAlignment="1">
      <alignment horizontal="center"/>
    </xf>
    <xf numFmtId="0" fontId="87" fillId="36" borderId="29" xfId="0" applyFont="1" applyFill="1" applyBorder="1" applyAlignment="1">
      <alignment horizontal="center"/>
    </xf>
    <xf numFmtId="0" fontId="87" fillId="36" borderId="70" xfId="0" applyFont="1" applyFill="1" applyBorder="1" applyAlignment="1">
      <alignment horizontal="center"/>
    </xf>
    <xf numFmtId="0" fontId="80" fillId="41" borderId="30" xfId="0" applyFont="1" applyFill="1" applyBorder="1" applyAlignment="1" applyProtection="1">
      <alignment horizontal="center"/>
      <protection locked="0"/>
    </xf>
    <xf numFmtId="0" fontId="80" fillId="41" borderId="71" xfId="0" applyFont="1" applyFill="1" applyBorder="1" applyAlignment="1" applyProtection="1">
      <alignment horizontal="center"/>
      <protection locked="0"/>
    </xf>
    <xf numFmtId="0" fontId="87" fillId="36" borderId="72" xfId="0" applyFont="1" applyFill="1" applyBorder="1" applyAlignment="1">
      <alignment horizontal="center"/>
    </xf>
    <xf numFmtId="0" fontId="80" fillId="41" borderId="73" xfId="0" applyFont="1" applyFill="1" applyBorder="1" applyAlignment="1" applyProtection="1">
      <alignment horizontal="center"/>
      <protection locked="0"/>
    </xf>
    <xf numFmtId="0" fontId="87" fillId="36" borderId="27" xfId="0" applyFont="1" applyFill="1" applyBorder="1" applyAlignment="1">
      <alignment horizontal="center"/>
    </xf>
    <xf numFmtId="0" fontId="87" fillId="36" borderId="68" xfId="0" applyFont="1" applyFill="1" applyBorder="1" applyAlignment="1">
      <alignment horizontal="center"/>
    </xf>
    <xf numFmtId="0" fontId="87" fillId="36" borderId="55" xfId="0" applyFont="1" applyFill="1" applyBorder="1" applyAlignment="1">
      <alignment horizontal="center"/>
    </xf>
    <xf numFmtId="0" fontId="0" fillId="33" borderId="27" xfId="0" applyFill="1" applyBorder="1" applyAlignment="1">
      <alignment horizontal="center"/>
    </xf>
    <xf numFmtId="0" fontId="0" fillId="33" borderId="68" xfId="0" applyFill="1" applyBorder="1" applyAlignment="1">
      <alignment horizontal="center"/>
    </xf>
    <xf numFmtId="0" fontId="0" fillId="33" borderId="55" xfId="0" applyFill="1" applyBorder="1" applyAlignment="1">
      <alignment horizontal="center"/>
    </xf>
    <xf numFmtId="0" fontId="87" fillId="36" borderId="35" xfId="0" applyFont="1" applyFill="1" applyBorder="1" applyAlignment="1">
      <alignment horizontal="center"/>
    </xf>
    <xf numFmtId="0" fontId="87" fillId="36" borderId="69" xfId="0" applyFont="1" applyFill="1" applyBorder="1" applyAlignment="1">
      <alignment horizontal="center"/>
    </xf>
    <xf numFmtId="0" fontId="80" fillId="41" borderId="38" xfId="0" applyFont="1" applyFill="1" applyBorder="1" applyAlignment="1" applyProtection="1">
      <alignment horizontal="center"/>
      <protection/>
    </xf>
    <xf numFmtId="0" fontId="80" fillId="41" borderId="74" xfId="0" applyFont="1" applyFill="1" applyBorder="1" applyAlignment="1" applyProtection="1">
      <alignment horizontal="center"/>
      <protection/>
    </xf>
    <xf numFmtId="0" fontId="80" fillId="41" borderId="71" xfId="0" applyFont="1" applyFill="1" applyBorder="1" applyAlignment="1" applyProtection="1">
      <alignment horizontal="center"/>
      <protection/>
    </xf>
    <xf numFmtId="0" fontId="104" fillId="42" borderId="48" xfId="0" applyFont="1" applyFill="1" applyBorder="1" applyAlignment="1">
      <alignment horizontal="center"/>
    </xf>
    <xf numFmtId="0" fontId="104" fillId="42" borderId="66" xfId="0" applyFont="1" applyFill="1" applyBorder="1" applyAlignment="1">
      <alignment horizontal="center"/>
    </xf>
    <xf numFmtId="0" fontId="104" fillId="42" borderId="58" xfId="0" applyFont="1" applyFill="1" applyBorder="1" applyAlignment="1">
      <alignment horizontal="center"/>
    </xf>
    <xf numFmtId="0" fontId="87" fillId="36" borderId="62" xfId="0" applyFont="1" applyFill="1" applyBorder="1" applyAlignment="1">
      <alignment horizontal="center"/>
    </xf>
    <xf numFmtId="0" fontId="80" fillId="41" borderId="74" xfId="0" applyFont="1" applyFill="1" applyBorder="1" applyAlignment="1" applyProtection="1">
      <alignment horizontal="center"/>
      <protection locked="0"/>
    </xf>
    <xf numFmtId="0" fontId="0" fillId="33" borderId="30" xfId="0" applyFill="1" applyBorder="1" applyAlignment="1">
      <alignment horizontal="center"/>
    </xf>
    <xf numFmtId="0" fontId="0" fillId="33" borderId="71" xfId="0" applyFill="1" applyBorder="1" applyAlignment="1">
      <alignment horizontal="center"/>
    </xf>
    <xf numFmtId="0" fontId="0" fillId="33" borderId="74" xfId="0" applyFill="1" applyBorder="1" applyAlignment="1">
      <alignment horizontal="center"/>
    </xf>
    <xf numFmtId="0" fontId="81" fillId="0" borderId="48" xfId="0" applyFont="1" applyBorder="1" applyAlignment="1">
      <alignment horizontal="center"/>
    </xf>
    <xf numFmtId="0" fontId="81" fillId="0" borderId="66" xfId="0" applyFont="1" applyBorder="1" applyAlignment="1">
      <alignment horizontal="center"/>
    </xf>
    <xf numFmtId="0" fontId="81" fillId="0" borderId="58" xfId="0" applyFont="1" applyBorder="1" applyAlignment="1">
      <alignment horizontal="center"/>
    </xf>
    <xf numFmtId="0" fontId="0" fillId="33" borderId="30" xfId="0" applyFill="1" applyBorder="1" applyAlignment="1">
      <alignment horizontal="center" vertical="center"/>
    </xf>
    <xf numFmtId="0" fontId="0" fillId="33" borderId="71" xfId="0" applyFill="1" applyBorder="1" applyAlignment="1">
      <alignment horizontal="center" vertical="center"/>
    </xf>
    <xf numFmtId="0" fontId="101" fillId="37" borderId="48" xfId="0" applyFont="1" applyFill="1" applyBorder="1" applyAlignment="1">
      <alignment horizontal="center"/>
    </xf>
    <xf numFmtId="0" fontId="101" fillId="37" borderId="66" xfId="0" applyFont="1" applyFill="1" applyBorder="1" applyAlignment="1">
      <alignment horizontal="center"/>
    </xf>
    <xf numFmtId="0" fontId="101" fillId="37" borderId="58" xfId="0" applyFont="1" applyFill="1" applyBorder="1" applyAlignment="1">
      <alignment horizontal="center"/>
    </xf>
    <xf numFmtId="0" fontId="80" fillId="36" borderId="67" xfId="0" applyFont="1" applyFill="1" applyBorder="1" applyAlignment="1">
      <alignment horizontal="center" vertical="center"/>
    </xf>
    <xf numFmtId="0" fontId="80" fillId="36" borderId="49" xfId="0" applyFont="1" applyFill="1" applyBorder="1" applyAlignment="1">
      <alignment horizontal="center" vertical="center"/>
    </xf>
    <xf numFmtId="0" fontId="80" fillId="36" borderId="50" xfId="0" applyFont="1" applyFill="1" applyBorder="1" applyAlignment="1">
      <alignment horizontal="center" vertical="center"/>
    </xf>
    <xf numFmtId="0" fontId="0" fillId="33" borderId="22" xfId="0" applyFill="1" applyBorder="1" applyAlignment="1">
      <alignment horizontal="center" vertical="center" wrapText="1"/>
    </xf>
    <xf numFmtId="0" fontId="0" fillId="33" borderId="75" xfId="0" applyFill="1" applyBorder="1" applyAlignment="1">
      <alignment horizontal="center" vertical="center" wrapText="1"/>
    </xf>
    <xf numFmtId="0" fontId="0" fillId="33" borderId="19" xfId="0" applyFill="1" applyBorder="1" applyAlignment="1">
      <alignment horizontal="center" wrapText="1"/>
    </xf>
    <xf numFmtId="0" fontId="0" fillId="33" borderId="20" xfId="0" applyFill="1" applyBorder="1" applyAlignment="1">
      <alignment horizontal="center" wrapText="1"/>
    </xf>
    <xf numFmtId="0" fontId="0" fillId="33" borderId="21" xfId="0" applyFill="1" applyBorder="1" applyAlignment="1">
      <alignment horizontal="center" wrapText="1"/>
    </xf>
    <xf numFmtId="0" fontId="83" fillId="46" borderId="48" xfId="0" applyFont="1" applyFill="1" applyBorder="1" applyAlignment="1">
      <alignment horizontal="center" vertical="center"/>
    </xf>
    <xf numFmtId="0" fontId="83" fillId="46" borderId="66" xfId="0" applyFont="1" applyFill="1" applyBorder="1" applyAlignment="1">
      <alignment horizontal="center" vertical="center"/>
    </xf>
    <xf numFmtId="0" fontId="83" fillId="46" borderId="58" xfId="0" applyFont="1" applyFill="1" applyBorder="1" applyAlignment="1">
      <alignment horizontal="center" vertical="center"/>
    </xf>
    <xf numFmtId="0" fontId="104" fillId="37" borderId="39" xfId="0" applyFont="1" applyFill="1" applyBorder="1" applyAlignment="1">
      <alignment horizontal="center"/>
    </xf>
    <xf numFmtId="0" fontId="104" fillId="37" borderId="0" xfId="0" applyFont="1" applyFill="1" applyBorder="1" applyAlignment="1">
      <alignment horizont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83" fillId="13" borderId="16" xfId="0" applyFont="1" applyFill="1" applyBorder="1" applyAlignment="1">
      <alignment horizontal="center" vertical="center"/>
    </xf>
    <xf numFmtId="0" fontId="83" fillId="13" borderId="17" xfId="0" applyFont="1" applyFill="1" applyBorder="1" applyAlignment="1">
      <alignment horizontal="center" vertical="center"/>
    </xf>
    <xf numFmtId="0" fontId="83" fillId="13" borderId="18" xfId="0" applyFont="1" applyFill="1" applyBorder="1" applyAlignment="1">
      <alignment horizontal="center" vertical="center"/>
    </xf>
    <xf numFmtId="0" fontId="0" fillId="33" borderId="61" xfId="0" applyFill="1" applyBorder="1" applyAlignment="1">
      <alignment horizontal="center" vertical="center" wrapText="1"/>
    </xf>
    <xf numFmtId="0" fontId="83" fillId="11" borderId="61" xfId="0" applyFont="1" applyFill="1" applyBorder="1" applyAlignment="1">
      <alignment horizontal="center" vertical="center"/>
    </xf>
    <xf numFmtId="0" fontId="83" fillId="11" borderId="54" xfId="0" applyFont="1" applyFill="1" applyBorder="1" applyAlignment="1">
      <alignment horizontal="center" vertical="center"/>
    </xf>
    <xf numFmtId="0" fontId="83" fillId="11" borderId="60" xfId="0" applyFont="1" applyFill="1" applyBorder="1" applyAlignment="1">
      <alignment horizontal="center" vertical="center"/>
    </xf>
    <xf numFmtId="0" fontId="83" fillId="10" borderId="51" xfId="0" applyFont="1" applyFill="1" applyBorder="1" applyAlignment="1">
      <alignment horizontal="center" vertical="center" wrapText="1"/>
    </xf>
    <xf numFmtId="0" fontId="83" fillId="10" borderId="40" xfId="0" applyFont="1" applyFill="1" applyBorder="1" applyAlignment="1">
      <alignment horizontal="center" vertical="center" wrapText="1"/>
    </xf>
    <xf numFmtId="0" fontId="83" fillId="10" borderId="41" xfId="0" applyFont="1" applyFill="1" applyBorder="1" applyAlignment="1">
      <alignment horizontal="center" vertical="center" wrapText="1"/>
    </xf>
    <xf numFmtId="0" fontId="105" fillId="0" borderId="51" xfId="0" applyFont="1" applyBorder="1" applyAlignment="1">
      <alignment horizontal="left"/>
    </xf>
    <xf numFmtId="0" fontId="105" fillId="0" borderId="40" xfId="0" applyFont="1" applyBorder="1" applyAlignment="1">
      <alignment horizontal="left"/>
    </xf>
    <xf numFmtId="0" fontId="105" fillId="0" borderId="76" xfId="0" applyFont="1" applyBorder="1" applyAlignment="1">
      <alignment horizontal="left"/>
    </xf>
    <xf numFmtId="0" fontId="104" fillId="44" borderId="67" xfId="0" applyFont="1" applyFill="1" applyBorder="1" applyAlignment="1">
      <alignment horizontal="center"/>
    </xf>
    <xf numFmtId="0" fontId="104" fillId="44" borderId="49" xfId="0" applyFont="1" applyFill="1" applyBorder="1" applyAlignment="1">
      <alignment horizontal="center"/>
    </xf>
    <xf numFmtId="0" fontId="104" fillId="44" borderId="50" xfId="0" applyFont="1" applyFill="1" applyBorder="1" applyAlignment="1">
      <alignment horizontal="center"/>
    </xf>
    <xf numFmtId="0" fontId="80" fillId="36" borderId="35" xfId="0" applyFont="1" applyFill="1" applyBorder="1" applyAlignment="1">
      <alignment horizontal="center" vertical="center"/>
    </xf>
    <xf numFmtId="0" fontId="80" fillId="36" borderId="69" xfId="0" applyFont="1" applyFill="1" applyBorder="1" applyAlignment="1">
      <alignment horizontal="center" vertical="center"/>
    </xf>
    <xf numFmtId="0" fontId="80" fillId="36" borderId="72" xfId="0" applyFont="1" applyFill="1" applyBorder="1" applyAlignment="1">
      <alignment horizontal="center" vertical="center"/>
    </xf>
    <xf numFmtId="0" fontId="105" fillId="0" borderId="26" xfId="0" applyFont="1" applyBorder="1" applyAlignment="1">
      <alignment horizontal="left"/>
    </xf>
    <xf numFmtId="0" fontId="105" fillId="0" borderId="63" xfId="0" applyFont="1" applyBorder="1" applyAlignment="1">
      <alignment horizontal="left"/>
    </xf>
    <xf numFmtId="0" fontId="105" fillId="0" borderId="77" xfId="0" applyFont="1" applyBorder="1" applyAlignment="1">
      <alignment horizontal="left"/>
    </xf>
    <xf numFmtId="0" fontId="85" fillId="36" borderId="35" xfId="0" applyFont="1" applyFill="1" applyBorder="1" applyAlignment="1">
      <alignment horizontal="center"/>
    </xf>
    <xf numFmtId="0" fontId="85" fillId="36" borderId="69" xfId="0" applyFont="1" applyFill="1" applyBorder="1" applyAlignment="1">
      <alignment horizontal="center"/>
    </xf>
    <xf numFmtId="0" fontId="85" fillId="36" borderId="72" xfId="0" applyFont="1" applyFill="1" applyBorder="1" applyAlignment="1">
      <alignment horizontal="center"/>
    </xf>
    <xf numFmtId="0" fontId="104" fillId="45" borderId="67" xfId="0" applyFont="1" applyFill="1" applyBorder="1" applyAlignment="1">
      <alignment horizontal="center"/>
    </xf>
    <xf numFmtId="0" fontId="104" fillId="45" borderId="49" xfId="0" applyFont="1" applyFill="1" applyBorder="1" applyAlignment="1">
      <alignment horizontal="center"/>
    </xf>
    <xf numFmtId="0" fontId="104" fillId="45" borderId="50" xfId="0" applyFont="1" applyFill="1" applyBorder="1" applyAlignment="1">
      <alignment horizontal="center"/>
    </xf>
    <xf numFmtId="0" fontId="87" fillId="36" borderId="48" xfId="0" applyFont="1" applyFill="1" applyBorder="1" applyAlignment="1">
      <alignment horizontal="center"/>
    </xf>
    <xf numFmtId="0" fontId="87" fillId="36" borderId="66" xfId="0" applyFont="1" applyFill="1" applyBorder="1" applyAlignment="1">
      <alignment horizontal="center"/>
    </xf>
    <xf numFmtId="0" fontId="87" fillId="36" borderId="58" xfId="0" applyFont="1" applyFill="1" applyBorder="1" applyAlignment="1">
      <alignment horizontal="center"/>
    </xf>
    <xf numFmtId="0" fontId="105" fillId="0" borderId="41" xfId="0" applyFont="1" applyBorder="1" applyAlignment="1">
      <alignment horizontal="left"/>
    </xf>
    <xf numFmtId="0" fontId="105" fillId="0" borderId="78" xfId="0" applyFont="1" applyBorder="1" applyAlignment="1">
      <alignment horizontal="left"/>
    </xf>
    <xf numFmtId="0" fontId="87" fillId="36" borderId="67" xfId="0" applyFont="1" applyFill="1" applyBorder="1" applyAlignment="1">
      <alignment horizontal="center"/>
    </xf>
    <xf numFmtId="0" fontId="87" fillId="36" borderId="49" xfId="0" applyFont="1" applyFill="1" applyBorder="1" applyAlignment="1">
      <alignment horizontal="center"/>
    </xf>
    <xf numFmtId="0" fontId="87" fillId="36" borderId="50" xfId="0" applyFont="1" applyFill="1" applyBorder="1" applyAlignment="1">
      <alignment horizontal="center"/>
    </xf>
    <xf numFmtId="0" fontId="105" fillId="0" borderId="61" xfId="0" applyFont="1" applyBorder="1" applyAlignment="1">
      <alignment horizontal="left"/>
    </xf>
    <xf numFmtId="0" fontId="105" fillId="0" borderId="54" xfId="0" applyFont="1" applyBorder="1" applyAlignment="1">
      <alignment horizontal="left"/>
    </xf>
    <xf numFmtId="0" fontId="87" fillId="36" borderId="67" xfId="0" applyFont="1" applyFill="1" applyBorder="1" applyAlignment="1">
      <alignment horizontal="center"/>
    </xf>
    <xf numFmtId="0" fontId="87" fillId="36" borderId="49" xfId="0" applyFont="1" applyFill="1" applyBorder="1" applyAlignment="1">
      <alignment horizontal="center"/>
    </xf>
    <xf numFmtId="0" fontId="87" fillId="36" borderId="50" xfId="0" applyFont="1" applyFill="1" applyBorder="1" applyAlignment="1">
      <alignment horizontal="center"/>
    </xf>
    <xf numFmtId="0" fontId="105" fillId="0" borderId="39" xfId="0" applyFont="1" applyBorder="1" applyAlignment="1">
      <alignment horizontal="left"/>
    </xf>
    <xf numFmtId="0" fontId="105" fillId="0" borderId="0" xfId="0" applyFont="1" applyBorder="1" applyAlignment="1">
      <alignment horizontal="left"/>
    </xf>
    <xf numFmtId="0" fontId="105" fillId="0" borderId="42" xfId="0" applyFont="1" applyBorder="1" applyAlignment="1">
      <alignment horizontal="left"/>
    </xf>
    <xf numFmtId="0" fontId="80" fillId="34" borderId="66" xfId="0" applyFont="1" applyFill="1" applyBorder="1" applyAlignment="1">
      <alignment horizontal="center" vertical="center"/>
    </xf>
    <xf numFmtId="0" fontId="106" fillId="0" borderId="56" xfId="0" applyFont="1" applyBorder="1" applyAlignment="1">
      <alignment horizontal="justify" vertical="top" wrapText="1"/>
    </xf>
    <xf numFmtId="0" fontId="106" fillId="0" borderId="0" xfId="0" applyFont="1" applyBorder="1" applyAlignment="1">
      <alignment horizontal="justify" vertical="top" wrapText="1"/>
    </xf>
    <xf numFmtId="0" fontId="106" fillId="0" borderId="57" xfId="0" applyFont="1" applyBorder="1" applyAlignment="1">
      <alignment horizontal="justify" vertical="top" wrapText="1"/>
    </xf>
    <xf numFmtId="0" fontId="0" fillId="0" borderId="56" xfId="0" applyBorder="1" applyAlignment="1">
      <alignment horizontal="left" wrapText="1"/>
    </xf>
    <xf numFmtId="0" fontId="0" fillId="0" borderId="0" xfId="0" applyBorder="1" applyAlignment="1">
      <alignment horizontal="left" wrapText="1"/>
    </xf>
    <xf numFmtId="0" fontId="0" fillId="0" borderId="57" xfId="0" applyBorder="1" applyAlignment="1">
      <alignment horizontal="left"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63" xfId="0" applyBorder="1" applyAlignment="1">
      <alignment horizontal="left" vertical="top" wrapText="1"/>
    </xf>
    <xf numFmtId="0" fontId="0" fillId="0" borderId="62" xfId="0" applyBorder="1" applyAlignment="1">
      <alignment horizontal="left" vertical="top" wrapText="1"/>
    </xf>
    <xf numFmtId="0" fontId="87" fillId="0" borderId="28" xfId="0" applyFont="1" applyBorder="1" applyAlignment="1">
      <alignment horizontal="right" vertical="top" wrapText="1"/>
    </xf>
    <xf numFmtId="0" fontId="87" fillId="0" borderId="26" xfId="0" applyFont="1" applyBorder="1" applyAlignment="1">
      <alignment horizontal="right" vertical="top" wrapText="1"/>
    </xf>
    <xf numFmtId="0" fontId="81" fillId="8" borderId="67" xfId="0" applyFont="1" applyFill="1" applyBorder="1" applyAlignment="1">
      <alignment horizontal="center"/>
    </xf>
    <xf numFmtId="0" fontId="81" fillId="8" borderId="49" xfId="0" applyFont="1" applyFill="1" applyBorder="1" applyAlignment="1">
      <alignment horizontal="center"/>
    </xf>
    <xf numFmtId="0" fontId="81" fillId="8" borderId="50" xfId="0" applyFont="1" applyFill="1" applyBorder="1" applyAlignment="1">
      <alignment horizontal="center"/>
    </xf>
    <xf numFmtId="0" fontId="80" fillId="34" borderId="68" xfId="0" applyFont="1" applyFill="1" applyBorder="1" applyAlignment="1">
      <alignment horizontal="center" vertical="center"/>
    </xf>
    <xf numFmtId="0" fontId="0" fillId="0" borderId="28" xfId="0" applyBorder="1" applyAlignment="1">
      <alignment/>
    </xf>
    <xf numFmtId="0" fontId="0" fillId="0" borderId="64" xfId="0" applyBorder="1" applyAlignment="1">
      <alignment/>
    </xf>
    <xf numFmtId="0" fontId="0" fillId="0" borderId="65" xfId="0" applyBorder="1" applyAlignment="1">
      <alignment/>
    </xf>
    <xf numFmtId="0" fontId="0" fillId="0" borderId="56" xfId="0" applyBorder="1" applyAlignment="1">
      <alignment horizontal="left"/>
    </xf>
    <xf numFmtId="0" fontId="0" fillId="0" borderId="0" xfId="0" applyBorder="1" applyAlignment="1">
      <alignment horizontal="left"/>
    </xf>
    <xf numFmtId="0" fontId="0" fillId="0" borderId="57" xfId="0" applyBorder="1" applyAlignment="1">
      <alignment horizontal="left"/>
    </xf>
    <xf numFmtId="0" fontId="107" fillId="0" borderId="56" xfId="0" applyFont="1" applyBorder="1" applyAlignment="1">
      <alignment horizontal="left" vertical="center" wrapText="1"/>
    </xf>
    <xf numFmtId="0" fontId="0" fillId="0" borderId="0" xfId="0" applyBorder="1" applyAlignment="1">
      <alignment horizontal="left" vertical="center" wrapText="1"/>
    </xf>
    <xf numFmtId="0" fontId="0" fillId="0" borderId="57" xfId="0" applyBorder="1" applyAlignment="1">
      <alignment horizontal="left" vertical="center" wrapText="1"/>
    </xf>
    <xf numFmtId="0" fontId="107" fillId="0" borderId="26" xfId="0" applyFont="1" applyBorder="1" applyAlignment="1">
      <alignment horizontal="left" vertical="center" wrapText="1"/>
    </xf>
    <xf numFmtId="0" fontId="107" fillId="0" borderId="63" xfId="0" applyFont="1" applyBorder="1" applyAlignment="1">
      <alignment horizontal="left" vertical="center" wrapText="1"/>
    </xf>
    <xf numFmtId="0" fontId="107" fillId="0" borderId="62"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24">
    <dxf>
      <fill>
        <patternFill>
          <bgColor theme="4" tint="0.7999799847602844"/>
        </patternFill>
      </fill>
      <border>
        <left/>
        <right/>
        <top/>
        <bottom/>
      </border>
    </dxf>
    <dxf>
      <fill>
        <patternFill>
          <bgColor theme="2" tint="-0.09994000196456909"/>
        </patternFill>
      </fill>
      <border>
        <left/>
        <right/>
        <top/>
        <bottom/>
      </border>
    </dxf>
    <dxf>
      <font>
        <b/>
        <i val="0"/>
        <strike val="0"/>
      </font>
      <fill>
        <patternFill>
          <bgColor theme="2" tint="-0.09994000196456909"/>
        </patternFill>
      </fill>
      <border>
        <left/>
        <right/>
        <top/>
        <bottom/>
      </border>
    </dxf>
    <dxf>
      <fill>
        <patternFill>
          <bgColor theme="2" tint="-0.09994000196456909"/>
        </patternFill>
      </fill>
    </dxf>
    <dxf>
      <font>
        <b/>
        <i val="0"/>
        <strike val="0"/>
      </font>
      <fill>
        <patternFill>
          <bgColor theme="9" tint="0.7999799847602844"/>
        </patternFill>
      </fill>
      <border>
        <left/>
        <right/>
        <top/>
        <bottom/>
      </border>
    </dxf>
    <dxf>
      <fill>
        <patternFill>
          <bgColor theme="2" tint="-0.09994000196456909"/>
        </patternFill>
      </fill>
      <border>
        <left/>
        <right/>
        <top/>
        <bottom/>
      </border>
    </dxf>
    <dxf>
      <fill>
        <patternFill>
          <bgColor theme="2" tint="-0.09994000196456909"/>
        </patternFill>
      </fill>
      <border>
        <left/>
        <right/>
        <top/>
        <bottom/>
      </border>
    </dxf>
    <dxf>
      <fill>
        <patternFill>
          <bgColor theme="2" tint="-0.09994000196456909"/>
        </patternFill>
      </fill>
      <border>
        <left/>
        <right/>
        <top/>
        <bottom/>
      </border>
    </dxf>
    <dxf>
      <fill>
        <patternFill>
          <bgColor theme="2" tint="-0.09994000196456909"/>
        </patternFill>
      </fill>
    </dxf>
    <dxf>
      <font>
        <b/>
        <i val="0"/>
      </font>
      <fill>
        <patternFill>
          <bgColor theme="7" tint="0.7999799847602844"/>
        </patternFill>
      </fill>
      <border>
        <left/>
        <right/>
        <top/>
        <bottom/>
      </border>
    </dxf>
    <dxf>
      <font>
        <b val="0"/>
        <i val="0"/>
      </font>
      <fill>
        <patternFill>
          <bgColor theme="0" tint="-0.04997999966144562"/>
        </patternFill>
      </fill>
      <border>
        <left/>
        <right/>
        <top/>
        <bottom/>
      </border>
    </dxf>
    <dxf>
      <fill>
        <patternFill>
          <bgColor theme="6" tint="0.3999499976634979"/>
        </patternFill>
      </fill>
    </dxf>
    <dxf>
      <font>
        <b/>
        <i val="0"/>
        <strike val="0"/>
      </font>
      <fill>
        <patternFill>
          <bgColor theme="2" tint="-0.09994000196456909"/>
        </patternFill>
      </fill>
      <border>
        <left/>
        <right/>
        <top/>
        <bottom/>
      </border>
    </dxf>
    <dxf>
      <fill>
        <patternFill>
          <bgColor theme="2" tint="-0.09994000196456909"/>
        </patternFill>
      </fill>
    </dxf>
    <dxf>
      <fill>
        <patternFill>
          <bgColor rgb="FF7030A0"/>
        </patternFill>
      </fill>
    </dxf>
    <dxf>
      <font>
        <b/>
        <i val="0"/>
        <strike val="0"/>
      </font>
      <fill>
        <patternFill>
          <bgColor theme="3" tint="0.3999499976634979"/>
        </patternFill>
      </fill>
      <border>
        <left style="thin"/>
      </border>
    </dxf>
    <dxf>
      <numFmt numFmtId="167" formatCode=";;;"/>
      <border>
        <left/>
        <right/>
        <top/>
        <bottom/>
      </border>
    </dxf>
    <dxf>
      <numFmt numFmtId="167" formatCode=";;;"/>
      <fill>
        <gradientFill>
          <stop position="0">
            <color theme="0" tint="-0.14901000261306763"/>
          </stop>
          <stop position="1">
            <color theme="1" tint="0.49803000688552856"/>
          </stop>
        </gradientFill>
      </fill>
      <border>
        <left style="thin">
          <color rgb="FF000000"/>
        </left>
        <right style="thin">
          <color rgb="FF000000"/>
        </right>
        <top>
          <color rgb="FF000000"/>
        </top>
      </border>
    </dxf>
    <dxf>
      <font>
        <b/>
        <i val="0"/>
        <strike val="0"/>
      </font>
      <fill>
        <patternFill>
          <bgColor theme="3" tint="0.3999499976634979"/>
        </patternFill>
      </fill>
      <border>
        <left style="thin">
          <color rgb="FF000000"/>
        </left>
      </border>
    </dxf>
    <dxf>
      <font>
        <b/>
        <i val="0"/>
        <strike val="0"/>
      </font>
      <fill>
        <patternFill>
          <bgColor theme="2" tint="-0.09994000196456909"/>
        </patternFill>
      </fill>
      <border>
        <left style="thin">
          <color rgb="FF000000"/>
        </left>
        <right style="thin">
          <color rgb="FF000000"/>
        </right>
        <top style="thin"/>
        <bottom style="thin">
          <color rgb="FF000000"/>
        </bottom>
      </border>
    </dxf>
    <dxf>
      <font>
        <b val="0"/>
        <i val="0"/>
      </font>
      <fill>
        <patternFill>
          <bgColor theme="0" tint="-0.04997999966144562"/>
        </patternFill>
      </fill>
      <border>
        <left style="thin">
          <color rgb="FF000000"/>
        </left>
        <right style="thin">
          <color rgb="FF000000"/>
        </right>
        <top style="thin"/>
        <bottom style="thin">
          <color rgb="FF000000"/>
        </bottom>
      </border>
    </dxf>
    <dxf>
      <font>
        <b/>
        <i val="0"/>
      </font>
      <fill>
        <patternFill>
          <bgColor theme="7" tint="0.7999799847602844"/>
        </patternFill>
      </fill>
      <border>
        <left style="thin">
          <color rgb="FF000000"/>
        </left>
        <right style="thin">
          <color rgb="FF000000"/>
        </right>
        <top style="thin"/>
        <bottom style="thin">
          <color rgb="FF000000"/>
        </bottom>
      </border>
    </dxf>
    <dxf>
      <font>
        <b/>
        <i val="0"/>
        <strike val="0"/>
      </font>
      <fill>
        <patternFill>
          <bgColor theme="9" tint="0.7999799847602844"/>
        </patternFill>
      </fill>
      <border>
        <left style="thin">
          <color rgb="FF000000"/>
        </left>
        <right style="thin">
          <color rgb="FF000000"/>
        </right>
        <top style="thin"/>
        <bottom style="thin">
          <color rgb="FF000000"/>
        </bottom>
      </border>
    </dxf>
    <dxf>
      <fill>
        <patternFill>
          <bgColor theme="4" tint="0.7999799847602844"/>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Capacidade de Carga</a:t>
            </a:r>
          </a:p>
        </c:rich>
      </c:tx>
      <c:layout>
        <c:manualLayout>
          <c:xMode val="factor"/>
          <c:yMode val="factor"/>
          <c:x val="-0.00175"/>
          <c:y val="-0.01675"/>
        </c:manualLayout>
      </c:layout>
      <c:spPr>
        <a:noFill/>
        <a:ln w="3175">
          <a:noFill/>
        </a:ln>
      </c:spPr>
    </c:title>
    <c:plotArea>
      <c:layout>
        <c:manualLayout>
          <c:xMode val="edge"/>
          <c:yMode val="edge"/>
          <c:x val="0.05125"/>
          <c:y val="0.123"/>
          <c:w val="0.834"/>
          <c:h val="0.876"/>
        </c:manualLayout>
      </c:layout>
      <c:scatterChart>
        <c:scatterStyle val="lineMarker"/>
        <c:varyColors val="0"/>
        <c:ser>
          <c:idx val="1"/>
          <c:order val="0"/>
          <c:tx>
            <c:strRef>
              <c:f>Final!$B$9</c:f>
              <c:strCache>
                <c:ptCount val="1"/>
                <c:pt idx="0">
                  <c:v>Aoki-Velloso</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993300"/>
              </a:solidFill>
              <a:ln>
                <a:solidFill>
                  <a:srgbClr val="993366"/>
                </a:solidFill>
              </a:ln>
              <a:effectLst>
                <a:outerShdw dist="35921" dir="2700000" algn="br">
                  <a:prstClr val="black"/>
                </a:outerShdw>
              </a:effectLst>
            </c:spPr>
          </c:marker>
          <c:xVal>
            <c:numRef>
              <c:f>Final!$B$10:$B$50</c:f>
              <c:numCache/>
            </c:numRef>
          </c:xVal>
          <c:yVal>
            <c:numRef>
              <c:f>Final!$A$10:$A$50</c:f>
              <c:numCache/>
            </c:numRef>
          </c:yVal>
          <c:smooth val="0"/>
        </c:ser>
        <c:ser>
          <c:idx val="2"/>
          <c:order val="1"/>
          <c:tx>
            <c:strRef>
              <c:f>Final!$C$9</c:f>
              <c:strCache>
                <c:ptCount val="1"/>
                <c:pt idx="0">
                  <c:v>Décourt-Quaresma</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808000"/>
              </a:solidFill>
              <a:ln>
                <a:solidFill>
                  <a:srgbClr val="99CC00"/>
                </a:solidFill>
              </a:ln>
              <a:effectLst>
                <a:outerShdw dist="35921" dir="2700000" algn="br">
                  <a:prstClr val="black"/>
                </a:outerShdw>
              </a:effectLst>
            </c:spPr>
          </c:marker>
          <c:xVal>
            <c:numRef>
              <c:f>Final!$C$10:$C$50</c:f>
              <c:numCache/>
            </c:numRef>
          </c:xVal>
          <c:yVal>
            <c:numRef>
              <c:f>Final!$A$10:$A$50</c:f>
              <c:numCache/>
            </c:numRef>
          </c:yVal>
          <c:smooth val="0"/>
        </c:ser>
        <c:ser>
          <c:idx val="3"/>
          <c:order val="2"/>
          <c:tx>
            <c:strRef>
              <c:f>Final!$D$9</c:f>
              <c:strCache>
                <c:ptCount val="1"/>
                <c:pt idx="0">
                  <c:v>Teixeira</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666699"/>
              </a:solidFill>
              <a:ln>
                <a:solidFill>
                  <a:srgbClr val="666699"/>
                </a:solidFill>
              </a:ln>
              <a:effectLst>
                <a:outerShdw dist="35921" dir="2700000" algn="br">
                  <a:prstClr val="black"/>
                </a:outerShdw>
              </a:effectLst>
            </c:spPr>
          </c:marker>
          <c:xVal>
            <c:numRef>
              <c:f>Final!$D$10:$D$50</c:f>
              <c:numCache/>
            </c:numRef>
          </c:xVal>
          <c:yVal>
            <c:numRef>
              <c:f>Final!$A$10:$A$50</c:f>
              <c:numCache/>
            </c:numRef>
          </c:yVal>
          <c:smooth val="0"/>
        </c:ser>
        <c:ser>
          <c:idx val="0"/>
          <c:order val="3"/>
          <c:tx>
            <c:strRef>
              <c:f>Final!$E$9</c:f>
              <c:strCache>
                <c:ptCount val="1"/>
                <c:pt idx="0">
                  <c:v>Média</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xVal>
            <c:numRef>
              <c:f>Final!$E$10:$E$50</c:f>
              <c:numCache/>
            </c:numRef>
          </c:xVal>
          <c:yVal>
            <c:numRef>
              <c:f>Final!$A$10:$A$50</c:f>
              <c:numCache/>
            </c:numRef>
          </c:yVal>
          <c:smooth val="0"/>
        </c:ser>
        <c:axId val="43602091"/>
        <c:axId val="56874500"/>
      </c:scatterChart>
      <c:valAx>
        <c:axId val="43602091"/>
        <c:scaling>
          <c:orientation val="minMax"/>
        </c:scaling>
        <c:axPos val="t"/>
        <c:title>
          <c:tx>
            <c:rich>
              <a:bodyPr vert="horz" rot="0" anchor="ctr"/>
              <a:lstStyle/>
              <a:p>
                <a:pPr algn="ctr">
                  <a:defRPr/>
                </a:pPr>
                <a:r>
                  <a:rPr lang="en-US" cap="none" sz="1000" b="1" i="0" u="none" baseline="0">
                    <a:solidFill>
                      <a:srgbClr val="FFFFFF"/>
                    </a:solidFill>
                    <a:latin typeface="Calibri"/>
                    <a:ea typeface="Calibri"/>
                    <a:cs typeface="Calibri"/>
                  </a:rPr>
                  <a:t>PAdm (kN)</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6874500"/>
        <c:crosses val="autoZero"/>
        <c:crossBetween val="midCat"/>
        <c:dispUnits/>
      </c:valAx>
      <c:valAx>
        <c:axId val="56874500"/>
        <c:scaling>
          <c:orientation val="maxMin"/>
          <c:max val="40"/>
          <c:min val="0"/>
        </c:scaling>
        <c:axPos val="l"/>
        <c:title>
          <c:tx>
            <c:rich>
              <a:bodyPr vert="horz" rot="-5400000" anchor="ctr"/>
              <a:lstStyle/>
              <a:p>
                <a:pPr algn="ctr">
                  <a:defRPr/>
                </a:pPr>
                <a:r>
                  <a:rPr lang="en-US" cap="none" sz="1000" b="1" i="0" u="none" baseline="0">
                    <a:solidFill>
                      <a:srgbClr val="FFFFFF"/>
                    </a:solidFill>
                    <a:latin typeface="Calibri"/>
                    <a:ea typeface="Calibri"/>
                    <a:cs typeface="Calibri"/>
                  </a:rPr>
                  <a:t>Profundidade (m)</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602091"/>
        <c:crosses val="autoZero"/>
        <c:crossBetween val="midCat"/>
        <c:dispUnits/>
      </c:valAx>
      <c:spPr>
        <a:solidFill>
          <a:srgbClr val="3F3F3F"/>
        </a:solidFill>
        <a:ln w="3175">
          <a:noFill/>
        </a:ln>
      </c:spPr>
    </c:plotArea>
    <c:legend>
      <c:legendPos val="r"/>
      <c:layout>
        <c:manualLayout>
          <c:xMode val="edge"/>
          <c:yMode val="edge"/>
          <c:x val="0.0745"/>
          <c:y val="0.053"/>
          <c:w val="0.76"/>
          <c:h val="0.028"/>
        </c:manualLayout>
      </c:layout>
      <c:overlay val="0"/>
      <c:spPr>
        <a:noFill/>
        <a:ln w="3175">
          <a:noFill/>
        </a:ln>
      </c:spPr>
    </c:legend>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28575</xdr:rowOff>
    </xdr:from>
    <xdr:to>
      <xdr:col>6</xdr:col>
      <xdr:colOff>152400</xdr:colOff>
      <xdr:row>8</xdr:row>
      <xdr:rowOff>47625</xdr:rowOff>
    </xdr:to>
    <xdr:pic>
      <xdr:nvPicPr>
        <xdr:cNvPr id="1" name="Imagem 5" descr="vestibular-ufg-2012-provas-e-resultado-do-vestibular-ufg.jpg"/>
        <xdr:cNvPicPr preferRelativeResize="1">
          <a:picLocks noChangeAspect="1"/>
        </xdr:cNvPicPr>
      </xdr:nvPicPr>
      <xdr:blipFill>
        <a:blip r:embed="rId1"/>
        <a:srcRect r="35328" b="19268"/>
        <a:stretch>
          <a:fillRect/>
        </a:stretch>
      </xdr:blipFill>
      <xdr:spPr>
        <a:xfrm>
          <a:off x="438150" y="219075"/>
          <a:ext cx="3371850" cy="1352550"/>
        </a:xfrm>
        <a:prstGeom prst="rect">
          <a:avLst/>
        </a:prstGeom>
        <a:noFill/>
        <a:ln w="9525" cmpd="sng">
          <a:noFill/>
        </a:ln>
      </xdr:spPr>
    </xdr:pic>
    <xdr:clientData/>
  </xdr:twoCellAnchor>
  <xdr:twoCellAnchor editAs="oneCell">
    <xdr:from>
      <xdr:col>1</xdr:col>
      <xdr:colOff>266700</xdr:colOff>
      <xdr:row>9</xdr:row>
      <xdr:rowOff>19050</xdr:rowOff>
    </xdr:from>
    <xdr:to>
      <xdr:col>5</xdr:col>
      <xdr:colOff>352425</xdr:colOff>
      <xdr:row>21</xdr:row>
      <xdr:rowOff>85725</xdr:rowOff>
    </xdr:to>
    <xdr:pic>
      <xdr:nvPicPr>
        <xdr:cNvPr id="2" name="Imagem 6" descr="simboloEngCiv sem fundo.png"/>
        <xdr:cNvPicPr preferRelativeResize="1">
          <a:picLocks noChangeAspect="0"/>
        </xdr:cNvPicPr>
      </xdr:nvPicPr>
      <xdr:blipFill>
        <a:blip r:embed="rId2"/>
        <a:stretch>
          <a:fillRect/>
        </a:stretch>
      </xdr:blipFill>
      <xdr:spPr>
        <a:xfrm>
          <a:off x="876300" y="1733550"/>
          <a:ext cx="2524125" cy="2524125"/>
        </a:xfrm>
        <a:prstGeom prst="rect">
          <a:avLst/>
        </a:prstGeom>
        <a:noFill/>
        <a:ln w="9525" cmpd="sng">
          <a:noFill/>
        </a:ln>
      </xdr:spPr>
    </xdr:pic>
    <xdr:clientData/>
  </xdr:twoCellAnchor>
  <xdr:twoCellAnchor>
    <xdr:from>
      <xdr:col>10</xdr:col>
      <xdr:colOff>9525</xdr:colOff>
      <xdr:row>20</xdr:row>
      <xdr:rowOff>19050</xdr:rowOff>
    </xdr:from>
    <xdr:to>
      <xdr:col>13</xdr:col>
      <xdr:colOff>0</xdr:colOff>
      <xdr:row>22</xdr:row>
      <xdr:rowOff>19050</xdr:rowOff>
    </xdr:to>
    <xdr:sp macro="[0]!Iniciar">
      <xdr:nvSpPr>
        <xdr:cNvPr id="3" name="Retângulo de cantos arredondados 8"/>
        <xdr:cNvSpPr>
          <a:spLocks/>
        </xdr:cNvSpPr>
      </xdr:nvSpPr>
      <xdr:spPr>
        <a:xfrm>
          <a:off x="6105525" y="4000500"/>
          <a:ext cx="1819275" cy="381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Iniciar</a:t>
          </a:r>
        </a:p>
      </xdr:txBody>
    </xdr:sp>
    <xdr:clientData/>
  </xdr:twoCellAnchor>
  <xdr:twoCellAnchor>
    <xdr:from>
      <xdr:col>10</xdr:col>
      <xdr:colOff>19050</xdr:colOff>
      <xdr:row>22</xdr:row>
      <xdr:rowOff>152400</xdr:rowOff>
    </xdr:from>
    <xdr:to>
      <xdr:col>13</xdr:col>
      <xdr:colOff>9525</xdr:colOff>
      <xdr:row>24</xdr:row>
      <xdr:rowOff>152400</xdr:rowOff>
    </xdr:to>
    <xdr:sp macro="[0]!Tutorial">
      <xdr:nvSpPr>
        <xdr:cNvPr id="4" name="Retângulo de cantos arredondados 4"/>
        <xdr:cNvSpPr>
          <a:spLocks/>
        </xdr:cNvSpPr>
      </xdr:nvSpPr>
      <xdr:spPr>
        <a:xfrm>
          <a:off x="6115050" y="4514850"/>
          <a:ext cx="1819275" cy="381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Tutorial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0</xdr:row>
      <xdr:rowOff>57150</xdr:rowOff>
    </xdr:from>
    <xdr:to>
      <xdr:col>8</xdr:col>
      <xdr:colOff>590550</xdr:colOff>
      <xdr:row>1</xdr:row>
      <xdr:rowOff>85725</xdr:rowOff>
    </xdr:to>
    <xdr:sp macro="[0]!Iniciar">
      <xdr:nvSpPr>
        <xdr:cNvPr id="1" name="Retângulo de cantos arredondados 1"/>
        <xdr:cNvSpPr>
          <a:spLocks/>
        </xdr:cNvSpPr>
      </xdr:nvSpPr>
      <xdr:spPr>
        <a:xfrm>
          <a:off x="7781925" y="57150"/>
          <a:ext cx="1543050" cy="27622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Iniciar</a:t>
          </a:r>
        </a:p>
      </xdr:txBody>
    </xdr:sp>
    <xdr:clientData/>
  </xdr:twoCellAnchor>
  <xdr:twoCellAnchor editAs="oneCell">
    <xdr:from>
      <xdr:col>0</xdr:col>
      <xdr:colOff>628650</xdr:colOff>
      <xdr:row>5</xdr:row>
      <xdr:rowOff>161925</xdr:rowOff>
    </xdr:from>
    <xdr:to>
      <xdr:col>3</xdr:col>
      <xdr:colOff>742950</xdr:colOff>
      <xdr:row>7</xdr:row>
      <xdr:rowOff>180975</xdr:rowOff>
    </xdr:to>
    <xdr:pic>
      <xdr:nvPicPr>
        <xdr:cNvPr id="2" name="Picture 2"/>
        <xdr:cNvPicPr preferRelativeResize="1">
          <a:picLocks noChangeAspect="1"/>
        </xdr:cNvPicPr>
      </xdr:nvPicPr>
      <xdr:blipFill>
        <a:blip r:embed="rId1"/>
        <a:stretch>
          <a:fillRect/>
        </a:stretch>
      </xdr:blipFill>
      <xdr:spPr>
        <a:xfrm>
          <a:off x="628650" y="1181100"/>
          <a:ext cx="4257675" cy="400050"/>
        </a:xfrm>
        <a:prstGeom prst="rect">
          <a:avLst/>
        </a:prstGeom>
        <a:noFill/>
        <a:ln w="9525" cmpd="sng">
          <a:noFill/>
        </a:ln>
      </xdr:spPr>
    </xdr:pic>
    <xdr:clientData/>
  </xdr:twoCellAnchor>
  <xdr:twoCellAnchor editAs="oneCell">
    <xdr:from>
      <xdr:col>0</xdr:col>
      <xdr:colOff>628650</xdr:colOff>
      <xdr:row>8</xdr:row>
      <xdr:rowOff>66675</xdr:rowOff>
    </xdr:from>
    <xdr:to>
      <xdr:col>3</xdr:col>
      <xdr:colOff>1200150</xdr:colOff>
      <xdr:row>30</xdr:row>
      <xdr:rowOff>66675</xdr:rowOff>
    </xdr:to>
    <xdr:pic>
      <xdr:nvPicPr>
        <xdr:cNvPr id="3" name="Picture 4"/>
        <xdr:cNvPicPr preferRelativeResize="1">
          <a:picLocks noChangeAspect="1"/>
        </xdr:cNvPicPr>
      </xdr:nvPicPr>
      <xdr:blipFill>
        <a:blip r:embed="rId2"/>
        <a:stretch>
          <a:fillRect/>
        </a:stretch>
      </xdr:blipFill>
      <xdr:spPr>
        <a:xfrm>
          <a:off x="628650" y="1657350"/>
          <a:ext cx="4714875" cy="4191000"/>
        </a:xfrm>
        <a:prstGeom prst="rect">
          <a:avLst/>
        </a:prstGeom>
        <a:noFill/>
        <a:ln w="9525" cmpd="sng">
          <a:noFill/>
        </a:ln>
      </xdr:spPr>
    </xdr:pic>
    <xdr:clientData/>
  </xdr:twoCellAnchor>
  <xdr:twoCellAnchor editAs="oneCell">
    <xdr:from>
      <xdr:col>1</xdr:col>
      <xdr:colOff>914400</xdr:colOff>
      <xdr:row>36</xdr:row>
      <xdr:rowOff>9525</xdr:rowOff>
    </xdr:from>
    <xdr:to>
      <xdr:col>3</xdr:col>
      <xdr:colOff>57150</xdr:colOff>
      <xdr:row>38</xdr:row>
      <xdr:rowOff>133350</xdr:rowOff>
    </xdr:to>
    <xdr:pic>
      <xdr:nvPicPr>
        <xdr:cNvPr id="4" name="Picture 6"/>
        <xdr:cNvPicPr preferRelativeResize="1">
          <a:picLocks noChangeAspect="1"/>
        </xdr:cNvPicPr>
      </xdr:nvPicPr>
      <xdr:blipFill>
        <a:blip r:embed="rId3"/>
        <a:stretch>
          <a:fillRect/>
        </a:stretch>
      </xdr:blipFill>
      <xdr:spPr>
        <a:xfrm>
          <a:off x="2295525" y="6934200"/>
          <a:ext cx="19050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4</xdr:row>
      <xdr:rowOff>9525</xdr:rowOff>
    </xdr:from>
    <xdr:to>
      <xdr:col>13</xdr:col>
      <xdr:colOff>419100</xdr:colOff>
      <xdr:row>5</xdr:row>
      <xdr:rowOff>123825</xdr:rowOff>
    </xdr:to>
    <xdr:sp macro="[0]!TabAuxilio">
      <xdr:nvSpPr>
        <xdr:cNvPr id="1" name="Retângulo de cantos arredondados 1"/>
        <xdr:cNvSpPr>
          <a:spLocks/>
        </xdr:cNvSpPr>
      </xdr:nvSpPr>
      <xdr:spPr>
        <a:xfrm>
          <a:off x="5762625" y="1019175"/>
          <a:ext cx="3381375" cy="342900"/>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ctr">
            <a:defRPr/>
          </a:pPr>
          <a:r>
            <a:rPr lang="en-US" cap="none" sz="1200" b="1" i="1" u="none" baseline="0">
              <a:solidFill>
                <a:srgbClr val="FFFFFF"/>
              </a:solidFill>
              <a:latin typeface="Calibri"/>
              <a:ea typeface="Calibri"/>
              <a:cs typeface="Calibri"/>
            </a:rPr>
            <a:t>TABELA</a:t>
          </a:r>
          <a:r>
            <a:rPr lang="en-US" cap="none" sz="1200" b="1" i="1" u="none" baseline="0">
              <a:solidFill>
                <a:srgbClr val="FFFFFF"/>
              </a:solidFill>
              <a:latin typeface="Calibri"/>
              <a:ea typeface="Calibri"/>
              <a:cs typeface="Calibri"/>
            </a:rPr>
            <a:t> DE AUXÍLIO P/ DIAMETROS</a:t>
          </a:r>
        </a:p>
      </xdr:txBody>
    </xdr:sp>
    <xdr:clientData/>
  </xdr:twoCellAnchor>
  <xdr:twoCellAnchor>
    <xdr:from>
      <xdr:col>10</xdr:col>
      <xdr:colOff>514350</xdr:colOff>
      <xdr:row>13</xdr:row>
      <xdr:rowOff>9525</xdr:rowOff>
    </xdr:from>
    <xdr:to>
      <xdr:col>13</xdr:col>
      <xdr:colOff>504825</xdr:colOff>
      <xdr:row>15</xdr:row>
      <xdr:rowOff>0</xdr:rowOff>
    </xdr:to>
    <xdr:sp macro="[0]!Aoki">
      <xdr:nvSpPr>
        <xdr:cNvPr id="2" name="Retângulo de cantos arredondados 2"/>
        <xdr:cNvSpPr>
          <a:spLocks/>
        </xdr:cNvSpPr>
      </xdr:nvSpPr>
      <xdr:spPr>
        <a:xfrm>
          <a:off x="5686425" y="3076575"/>
          <a:ext cx="3543300" cy="447675"/>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Aoki-Velloso (1975)</a:t>
          </a:r>
        </a:p>
      </xdr:txBody>
    </xdr:sp>
    <xdr:clientData/>
  </xdr:twoCellAnchor>
  <xdr:twoCellAnchor>
    <xdr:from>
      <xdr:col>10</xdr:col>
      <xdr:colOff>514350</xdr:colOff>
      <xdr:row>16</xdr:row>
      <xdr:rowOff>0</xdr:rowOff>
    </xdr:from>
    <xdr:to>
      <xdr:col>13</xdr:col>
      <xdr:colOff>504825</xdr:colOff>
      <xdr:row>17</xdr:row>
      <xdr:rowOff>219075</xdr:rowOff>
    </xdr:to>
    <xdr:sp macro="[0]!Decourt">
      <xdr:nvSpPr>
        <xdr:cNvPr id="3" name="Retângulo de cantos arredondados 5"/>
        <xdr:cNvSpPr>
          <a:spLocks/>
        </xdr:cNvSpPr>
      </xdr:nvSpPr>
      <xdr:spPr>
        <a:xfrm>
          <a:off x="5686425" y="3752850"/>
          <a:ext cx="3543300" cy="44767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Décourt-Quaresma (1978)</a:t>
          </a:r>
        </a:p>
      </xdr:txBody>
    </xdr:sp>
    <xdr:clientData/>
  </xdr:twoCellAnchor>
  <xdr:twoCellAnchor>
    <xdr:from>
      <xdr:col>10</xdr:col>
      <xdr:colOff>514350</xdr:colOff>
      <xdr:row>19</xdr:row>
      <xdr:rowOff>0</xdr:rowOff>
    </xdr:from>
    <xdr:to>
      <xdr:col>13</xdr:col>
      <xdr:colOff>504825</xdr:colOff>
      <xdr:row>20</xdr:row>
      <xdr:rowOff>219075</xdr:rowOff>
    </xdr:to>
    <xdr:sp macro="[0]!Teixeira">
      <xdr:nvSpPr>
        <xdr:cNvPr id="4" name="Retângulo de cantos arredondados 6"/>
        <xdr:cNvSpPr>
          <a:spLocks/>
        </xdr:cNvSpPr>
      </xdr:nvSpPr>
      <xdr:spPr>
        <a:xfrm>
          <a:off x="5686425" y="4438650"/>
          <a:ext cx="3543300" cy="447675"/>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Teixeira (1996)</a:t>
          </a:r>
        </a:p>
      </xdr:txBody>
    </xdr:sp>
    <xdr:clientData/>
  </xdr:twoCellAnchor>
  <xdr:twoCellAnchor>
    <xdr:from>
      <xdr:col>14</xdr:col>
      <xdr:colOff>209550</xdr:colOff>
      <xdr:row>0</xdr:row>
      <xdr:rowOff>85725</xdr:rowOff>
    </xdr:from>
    <xdr:to>
      <xdr:col>16</xdr:col>
      <xdr:colOff>590550</xdr:colOff>
      <xdr:row>1</xdr:row>
      <xdr:rowOff>219075</xdr:rowOff>
    </xdr:to>
    <xdr:sp macro="[0]!Tutorial">
      <xdr:nvSpPr>
        <xdr:cNvPr id="5" name="Retângulo de cantos arredondados 7"/>
        <xdr:cNvSpPr>
          <a:spLocks/>
        </xdr:cNvSpPr>
      </xdr:nvSpPr>
      <xdr:spPr>
        <a:xfrm>
          <a:off x="10058400" y="85725"/>
          <a:ext cx="1504950" cy="381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Tutorial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10</xdr:row>
      <xdr:rowOff>95250</xdr:rowOff>
    </xdr:from>
    <xdr:to>
      <xdr:col>7</xdr:col>
      <xdr:colOff>523875</xdr:colOff>
      <xdr:row>16</xdr:row>
      <xdr:rowOff>114300</xdr:rowOff>
    </xdr:to>
    <xdr:pic>
      <xdr:nvPicPr>
        <xdr:cNvPr id="1" name="Imagem 3"/>
        <xdr:cNvPicPr preferRelativeResize="1">
          <a:picLocks noChangeAspect="1"/>
        </xdr:cNvPicPr>
      </xdr:nvPicPr>
      <xdr:blipFill>
        <a:blip r:embed="rId1"/>
        <a:stretch>
          <a:fillRect/>
        </a:stretch>
      </xdr:blipFill>
      <xdr:spPr>
        <a:xfrm>
          <a:off x="2476500" y="1704975"/>
          <a:ext cx="160972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3</xdr:row>
      <xdr:rowOff>38100</xdr:rowOff>
    </xdr:from>
    <xdr:to>
      <xdr:col>9</xdr:col>
      <xdr:colOff>695325</xdr:colOff>
      <xdr:row>5</xdr:row>
      <xdr:rowOff>123825</xdr:rowOff>
    </xdr:to>
    <xdr:sp macro="[0]!VoltarSPT">
      <xdr:nvSpPr>
        <xdr:cNvPr id="1" name="Retângulo de cantos arredondados 1"/>
        <xdr:cNvSpPr>
          <a:spLocks/>
        </xdr:cNvSpPr>
      </xdr:nvSpPr>
      <xdr:spPr>
        <a:xfrm>
          <a:off x="6362700" y="714375"/>
          <a:ext cx="1495425" cy="4762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VOLTAR</a:t>
          </a:r>
        </a:p>
      </xdr:txBody>
    </xdr:sp>
    <xdr:clientData/>
  </xdr:twoCellAnchor>
  <xdr:twoCellAnchor>
    <xdr:from>
      <xdr:col>8</xdr:col>
      <xdr:colOff>180975</xdr:colOff>
      <xdr:row>1</xdr:row>
      <xdr:rowOff>66675</xdr:rowOff>
    </xdr:from>
    <xdr:to>
      <xdr:col>9</xdr:col>
      <xdr:colOff>695325</xdr:colOff>
      <xdr:row>2</xdr:row>
      <xdr:rowOff>152400</xdr:rowOff>
    </xdr:to>
    <xdr:sp macro="[0]!VoltarDecourt">
      <xdr:nvSpPr>
        <xdr:cNvPr id="2" name="Retângulo de cantos arredondados 2"/>
        <xdr:cNvSpPr>
          <a:spLocks/>
        </xdr:cNvSpPr>
      </xdr:nvSpPr>
      <xdr:spPr>
        <a:xfrm>
          <a:off x="6362700" y="342900"/>
          <a:ext cx="1495425" cy="2952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AVANÇAR</a:t>
          </a:r>
        </a:p>
      </xdr:txBody>
    </xdr:sp>
    <xdr:clientData/>
  </xdr:twoCellAnchor>
  <xdr:twoCellAnchor>
    <xdr:from>
      <xdr:col>9</xdr:col>
      <xdr:colOff>933450</xdr:colOff>
      <xdr:row>1</xdr:row>
      <xdr:rowOff>161925</xdr:rowOff>
    </xdr:from>
    <xdr:to>
      <xdr:col>13</xdr:col>
      <xdr:colOff>247650</xdr:colOff>
      <xdr:row>3</xdr:row>
      <xdr:rowOff>161925</xdr:rowOff>
    </xdr:to>
    <xdr:sp macro="[0]!TabelaMétodos">
      <xdr:nvSpPr>
        <xdr:cNvPr id="3" name="Retângulo de cantos arredondados 3"/>
        <xdr:cNvSpPr>
          <a:spLocks/>
        </xdr:cNvSpPr>
      </xdr:nvSpPr>
      <xdr:spPr>
        <a:xfrm>
          <a:off x="8096250" y="438150"/>
          <a:ext cx="2314575" cy="400050"/>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Parâmetros do Método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4</xdr:row>
      <xdr:rowOff>0</xdr:rowOff>
    </xdr:from>
    <xdr:to>
      <xdr:col>10</xdr:col>
      <xdr:colOff>838200</xdr:colOff>
      <xdr:row>6</xdr:row>
      <xdr:rowOff>9525</xdr:rowOff>
    </xdr:to>
    <xdr:sp macro="[0]!VoltarSPT">
      <xdr:nvSpPr>
        <xdr:cNvPr id="1" name="Retângulo de cantos arredondados 2"/>
        <xdr:cNvSpPr>
          <a:spLocks/>
        </xdr:cNvSpPr>
      </xdr:nvSpPr>
      <xdr:spPr>
        <a:xfrm>
          <a:off x="7877175" y="857250"/>
          <a:ext cx="1333500" cy="2952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VOLTAR</a:t>
          </a:r>
        </a:p>
      </xdr:txBody>
    </xdr:sp>
    <xdr:clientData/>
  </xdr:twoCellAnchor>
  <xdr:twoCellAnchor>
    <xdr:from>
      <xdr:col>9</xdr:col>
      <xdr:colOff>333375</xdr:colOff>
      <xdr:row>2</xdr:row>
      <xdr:rowOff>0</xdr:rowOff>
    </xdr:from>
    <xdr:to>
      <xdr:col>10</xdr:col>
      <xdr:colOff>838200</xdr:colOff>
      <xdr:row>3</xdr:row>
      <xdr:rowOff>95250</xdr:rowOff>
    </xdr:to>
    <xdr:sp macro="[0]!VoltarTeixeira">
      <xdr:nvSpPr>
        <xdr:cNvPr id="2" name="Retângulo de cantos arredondados 3"/>
        <xdr:cNvSpPr>
          <a:spLocks/>
        </xdr:cNvSpPr>
      </xdr:nvSpPr>
      <xdr:spPr>
        <a:xfrm>
          <a:off x="7877175" y="476250"/>
          <a:ext cx="1333500" cy="2857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AVANÇAR</a:t>
          </a:r>
        </a:p>
      </xdr:txBody>
    </xdr:sp>
    <xdr:clientData/>
  </xdr:twoCellAnchor>
  <xdr:twoCellAnchor>
    <xdr:from>
      <xdr:col>8</xdr:col>
      <xdr:colOff>314325</xdr:colOff>
      <xdr:row>6</xdr:row>
      <xdr:rowOff>95250</xdr:rowOff>
    </xdr:from>
    <xdr:to>
      <xdr:col>11</xdr:col>
      <xdr:colOff>9525</xdr:colOff>
      <xdr:row>8</xdr:row>
      <xdr:rowOff>104775</xdr:rowOff>
    </xdr:to>
    <xdr:sp macro="[0]!TabelaMétodos">
      <xdr:nvSpPr>
        <xdr:cNvPr id="3" name="Retângulo de cantos arredondados 4"/>
        <xdr:cNvSpPr>
          <a:spLocks/>
        </xdr:cNvSpPr>
      </xdr:nvSpPr>
      <xdr:spPr>
        <a:xfrm>
          <a:off x="7077075" y="1238250"/>
          <a:ext cx="2314575" cy="400050"/>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Parâmetros do Método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3</xdr:row>
      <xdr:rowOff>28575</xdr:rowOff>
    </xdr:from>
    <xdr:to>
      <xdr:col>11</xdr:col>
      <xdr:colOff>790575</xdr:colOff>
      <xdr:row>4</xdr:row>
      <xdr:rowOff>133350</xdr:rowOff>
    </xdr:to>
    <xdr:sp macro="[0]!VoltarSPT">
      <xdr:nvSpPr>
        <xdr:cNvPr id="1" name="Retângulo de cantos arredondados 1"/>
        <xdr:cNvSpPr>
          <a:spLocks/>
        </xdr:cNvSpPr>
      </xdr:nvSpPr>
      <xdr:spPr>
        <a:xfrm>
          <a:off x="8848725" y="714375"/>
          <a:ext cx="1533525" cy="3048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VOLTAR</a:t>
          </a:r>
        </a:p>
      </xdr:txBody>
    </xdr:sp>
    <xdr:clientData/>
  </xdr:twoCellAnchor>
  <xdr:twoCellAnchor>
    <xdr:from>
      <xdr:col>10</xdr:col>
      <xdr:colOff>104775</xdr:colOff>
      <xdr:row>1</xdr:row>
      <xdr:rowOff>47625</xdr:rowOff>
    </xdr:from>
    <xdr:to>
      <xdr:col>11</xdr:col>
      <xdr:colOff>790575</xdr:colOff>
      <xdr:row>2</xdr:row>
      <xdr:rowOff>123825</xdr:rowOff>
    </xdr:to>
    <xdr:sp macro="[0]!Final">
      <xdr:nvSpPr>
        <xdr:cNvPr id="2" name="Retângulo de cantos arredondados 2"/>
        <xdr:cNvSpPr>
          <a:spLocks/>
        </xdr:cNvSpPr>
      </xdr:nvSpPr>
      <xdr:spPr>
        <a:xfrm>
          <a:off x="8848725" y="323850"/>
          <a:ext cx="1533525" cy="2857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AVANÇAR</a:t>
          </a:r>
        </a:p>
      </xdr:txBody>
    </xdr:sp>
    <xdr:clientData/>
  </xdr:twoCellAnchor>
  <xdr:twoCellAnchor>
    <xdr:from>
      <xdr:col>10</xdr:col>
      <xdr:colOff>95250</xdr:colOff>
      <xdr:row>7</xdr:row>
      <xdr:rowOff>28575</xdr:rowOff>
    </xdr:from>
    <xdr:to>
      <xdr:col>13</xdr:col>
      <xdr:colOff>66675</xdr:colOff>
      <xdr:row>8</xdr:row>
      <xdr:rowOff>180975</xdr:rowOff>
    </xdr:to>
    <xdr:sp macro="[0]!TabelaMétodos">
      <xdr:nvSpPr>
        <xdr:cNvPr id="3" name="Retângulo de cantos arredondados 3"/>
        <xdr:cNvSpPr>
          <a:spLocks/>
        </xdr:cNvSpPr>
      </xdr:nvSpPr>
      <xdr:spPr>
        <a:xfrm>
          <a:off x="8839200" y="1504950"/>
          <a:ext cx="2314575" cy="400050"/>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Parâmetros do Método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0</xdr:rowOff>
    </xdr:from>
    <xdr:to>
      <xdr:col>14</xdr:col>
      <xdr:colOff>219075</xdr:colOff>
      <xdr:row>50</xdr:row>
      <xdr:rowOff>38100</xdr:rowOff>
    </xdr:to>
    <xdr:graphicFrame>
      <xdr:nvGraphicFramePr>
        <xdr:cNvPr id="1" name="Gráfico 6"/>
        <xdr:cNvGraphicFramePr/>
      </xdr:nvGraphicFramePr>
      <xdr:xfrm>
        <a:off x="5648325" y="438150"/>
        <a:ext cx="5838825" cy="9248775"/>
      </xdr:xfrm>
      <a:graphic>
        <a:graphicData uri="http://schemas.openxmlformats.org/drawingml/2006/chart">
          <c:chart xmlns:c="http://schemas.openxmlformats.org/drawingml/2006/chart" r:id="rId1"/>
        </a:graphicData>
      </a:graphic>
    </xdr:graphicFrame>
    <xdr:clientData/>
  </xdr:twoCellAnchor>
  <xdr:twoCellAnchor>
    <xdr:from>
      <xdr:col>8</xdr:col>
      <xdr:colOff>28575</xdr:colOff>
      <xdr:row>0</xdr:row>
      <xdr:rowOff>57150</xdr:rowOff>
    </xdr:from>
    <xdr:to>
      <xdr:col>10</xdr:col>
      <xdr:colOff>514350</xdr:colOff>
      <xdr:row>1</xdr:row>
      <xdr:rowOff>104775</xdr:rowOff>
    </xdr:to>
    <xdr:sp macro="[0]!Iniciar">
      <xdr:nvSpPr>
        <xdr:cNvPr id="2" name="Retângulo de cantos arredondados 3"/>
        <xdr:cNvSpPr>
          <a:spLocks/>
        </xdr:cNvSpPr>
      </xdr:nvSpPr>
      <xdr:spPr>
        <a:xfrm>
          <a:off x="7696200" y="57150"/>
          <a:ext cx="1685925" cy="2952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Início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22</xdr:row>
      <xdr:rowOff>66675</xdr:rowOff>
    </xdr:from>
    <xdr:to>
      <xdr:col>6</xdr:col>
      <xdr:colOff>381000</xdr:colOff>
      <xdr:row>24</xdr:row>
      <xdr:rowOff>95250</xdr:rowOff>
    </xdr:to>
    <xdr:sp macro="[0]!TabVoltar">
      <xdr:nvSpPr>
        <xdr:cNvPr id="1" name="Retângulo de cantos arredondados 1"/>
        <xdr:cNvSpPr>
          <a:spLocks/>
        </xdr:cNvSpPr>
      </xdr:nvSpPr>
      <xdr:spPr>
        <a:xfrm>
          <a:off x="4991100" y="4305300"/>
          <a:ext cx="1933575" cy="419100"/>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12</xdr:row>
      <xdr:rowOff>104775</xdr:rowOff>
    </xdr:from>
    <xdr:to>
      <xdr:col>5</xdr:col>
      <xdr:colOff>571500</xdr:colOff>
      <xdr:row>15</xdr:row>
      <xdr:rowOff>57150</xdr:rowOff>
    </xdr:to>
    <xdr:sp macro="[0]!VoltarAoki">
      <xdr:nvSpPr>
        <xdr:cNvPr id="1" name="Retângulo de cantos arredondados 1"/>
        <xdr:cNvSpPr>
          <a:spLocks/>
        </xdr:cNvSpPr>
      </xdr:nvSpPr>
      <xdr:spPr>
        <a:xfrm>
          <a:off x="3457575" y="2600325"/>
          <a:ext cx="1800225" cy="552450"/>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 no Método</a:t>
          </a:r>
        </a:p>
      </xdr:txBody>
    </xdr:sp>
    <xdr:clientData/>
  </xdr:twoCellAnchor>
  <xdr:twoCellAnchor>
    <xdr:from>
      <xdr:col>10</xdr:col>
      <xdr:colOff>1057275</xdr:colOff>
      <xdr:row>16</xdr:row>
      <xdr:rowOff>152400</xdr:rowOff>
    </xdr:from>
    <xdr:to>
      <xdr:col>12</xdr:col>
      <xdr:colOff>409575</xdr:colOff>
      <xdr:row>19</xdr:row>
      <xdr:rowOff>104775</xdr:rowOff>
    </xdr:to>
    <xdr:sp macro="[0]!VoltarDecourt">
      <xdr:nvSpPr>
        <xdr:cNvPr id="2" name="Retângulo de cantos arredondados 3"/>
        <xdr:cNvSpPr>
          <a:spLocks/>
        </xdr:cNvSpPr>
      </xdr:nvSpPr>
      <xdr:spPr>
        <a:xfrm>
          <a:off x="9725025" y="3448050"/>
          <a:ext cx="1800225" cy="54292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 no Método</a:t>
          </a:r>
        </a:p>
      </xdr:txBody>
    </xdr:sp>
    <xdr:clientData/>
  </xdr:twoCellAnchor>
  <xdr:twoCellAnchor>
    <xdr:from>
      <xdr:col>17</xdr:col>
      <xdr:colOff>495300</xdr:colOff>
      <xdr:row>23</xdr:row>
      <xdr:rowOff>38100</xdr:rowOff>
    </xdr:from>
    <xdr:to>
      <xdr:col>19</xdr:col>
      <xdr:colOff>542925</xdr:colOff>
      <xdr:row>25</xdr:row>
      <xdr:rowOff>190500</xdr:rowOff>
    </xdr:to>
    <xdr:sp macro="[0]!VoltarTeixeira">
      <xdr:nvSpPr>
        <xdr:cNvPr id="3" name="Retângulo de cantos arredondados 4"/>
        <xdr:cNvSpPr>
          <a:spLocks/>
        </xdr:cNvSpPr>
      </xdr:nvSpPr>
      <xdr:spPr>
        <a:xfrm>
          <a:off x="15611475" y="4714875"/>
          <a:ext cx="1800225" cy="542925"/>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 no Método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Plan1"/>
  <dimension ref="G2:Q26"/>
  <sheetViews>
    <sheetView showGridLines="0" showRowColHeaders="0" zoomScalePageLayoutView="0" workbookViewId="0" topLeftCell="A1">
      <selection activeCell="H11" sqref="H11"/>
    </sheetView>
  </sheetViews>
  <sheetFormatPr defaultColWidth="9.140625" defaultRowHeight="15"/>
  <sheetData>
    <row r="2" spans="7:17" ht="15">
      <c r="G2" s="368" t="s">
        <v>5</v>
      </c>
      <c r="H2" s="368"/>
      <c r="I2" s="368"/>
      <c r="J2" s="368"/>
      <c r="K2" s="368"/>
      <c r="L2" s="368"/>
      <c r="M2" s="368"/>
      <c r="N2" s="368"/>
      <c r="O2" s="368"/>
      <c r="P2" s="368"/>
      <c r="Q2" s="368"/>
    </row>
    <row r="3" spans="7:17" ht="15">
      <c r="G3" s="368"/>
      <c r="H3" s="368"/>
      <c r="I3" s="368"/>
      <c r="J3" s="368"/>
      <c r="K3" s="368"/>
      <c r="L3" s="368"/>
      <c r="M3" s="368"/>
      <c r="N3" s="368"/>
      <c r="O3" s="368"/>
      <c r="P3" s="368"/>
      <c r="Q3" s="368"/>
    </row>
    <row r="4" spans="7:17" ht="15">
      <c r="G4" s="368"/>
      <c r="H4" s="368"/>
      <c r="I4" s="368"/>
      <c r="J4" s="368"/>
      <c r="K4" s="368"/>
      <c r="L4" s="368"/>
      <c r="M4" s="368"/>
      <c r="N4" s="368"/>
      <c r="O4" s="368"/>
      <c r="P4" s="368"/>
      <c r="Q4" s="368"/>
    </row>
    <row r="5" spans="7:17" ht="15">
      <c r="G5" s="368"/>
      <c r="H5" s="368"/>
      <c r="I5" s="368"/>
      <c r="J5" s="368"/>
      <c r="K5" s="368"/>
      <c r="L5" s="368"/>
      <c r="M5" s="368"/>
      <c r="N5" s="368"/>
      <c r="O5" s="368"/>
      <c r="P5" s="368"/>
      <c r="Q5" s="368"/>
    </row>
    <row r="6" spans="7:17" ht="15">
      <c r="G6" s="368"/>
      <c r="H6" s="368"/>
      <c r="I6" s="368"/>
      <c r="J6" s="368"/>
      <c r="K6" s="368"/>
      <c r="L6" s="368"/>
      <c r="M6" s="368"/>
      <c r="N6" s="368"/>
      <c r="O6" s="368"/>
      <c r="P6" s="368"/>
      <c r="Q6" s="368"/>
    </row>
    <row r="7" spans="7:17" ht="15">
      <c r="G7" s="368"/>
      <c r="H7" s="368"/>
      <c r="I7" s="368"/>
      <c r="J7" s="368"/>
      <c r="K7" s="368"/>
      <c r="L7" s="368"/>
      <c r="M7" s="368"/>
      <c r="N7" s="368"/>
      <c r="O7" s="368"/>
      <c r="P7" s="368"/>
      <c r="Q7" s="368"/>
    </row>
    <row r="8" spans="7:17" ht="15">
      <c r="G8" s="368"/>
      <c r="H8" s="368"/>
      <c r="I8" s="368"/>
      <c r="J8" s="368"/>
      <c r="K8" s="368"/>
      <c r="L8" s="368"/>
      <c r="M8" s="368"/>
      <c r="N8" s="368"/>
      <c r="O8" s="368"/>
      <c r="P8" s="368"/>
      <c r="Q8" s="368"/>
    </row>
    <row r="9" spans="7:17" ht="15">
      <c r="G9" s="368"/>
      <c r="H9" s="368"/>
      <c r="I9" s="368"/>
      <c r="J9" s="368"/>
      <c r="K9" s="368"/>
      <c r="L9" s="368"/>
      <c r="M9" s="368"/>
      <c r="N9" s="368"/>
      <c r="O9" s="368"/>
      <c r="P9" s="368"/>
      <c r="Q9" s="368"/>
    </row>
    <row r="11" spans="10:14" ht="18.75">
      <c r="J11" s="367" t="s">
        <v>6</v>
      </c>
      <c r="K11" s="367"/>
      <c r="L11" s="367"/>
      <c r="M11" s="367"/>
      <c r="N11" s="367"/>
    </row>
    <row r="12" spans="10:17" ht="15.75">
      <c r="J12" s="366" t="s">
        <v>0</v>
      </c>
      <c r="K12" s="366"/>
      <c r="L12" s="366"/>
      <c r="M12" s="366"/>
      <c r="N12" s="366"/>
      <c r="O12" s="1"/>
      <c r="P12" s="1"/>
      <c r="Q12" s="1"/>
    </row>
    <row r="13" spans="10:17" ht="15">
      <c r="J13" s="365" t="s">
        <v>1</v>
      </c>
      <c r="K13" s="365"/>
      <c r="L13" s="365"/>
      <c r="M13" s="365"/>
      <c r="N13" s="365"/>
      <c r="O13" s="2"/>
      <c r="P13" s="2"/>
      <c r="Q13" s="2"/>
    </row>
    <row r="15" spans="15:17" ht="15.75">
      <c r="O15" s="1"/>
      <c r="P15" s="1"/>
      <c r="Q15" s="1"/>
    </row>
    <row r="16" spans="8:17" ht="18.75">
      <c r="H16" s="3"/>
      <c r="I16" s="3"/>
      <c r="J16" s="367" t="s">
        <v>2</v>
      </c>
      <c r="K16" s="367"/>
      <c r="L16" s="367"/>
      <c r="M16" s="367"/>
      <c r="N16" s="367"/>
      <c r="O16" s="4"/>
      <c r="P16" s="4"/>
      <c r="Q16" s="4"/>
    </row>
    <row r="17" spans="8:14" ht="18.75">
      <c r="H17" s="3"/>
      <c r="I17" s="3"/>
      <c r="J17" s="369" t="s">
        <v>3</v>
      </c>
      <c r="K17" s="369"/>
      <c r="L17" s="369"/>
      <c r="M17" s="369"/>
      <c r="N17" s="369"/>
    </row>
    <row r="18" spans="10:17" ht="15.75">
      <c r="J18" s="365" t="s">
        <v>4</v>
      </c>
      <c r="K18" s="365"/>
      <c r="L18" s="365"/>
      <c r="M18" s="365"/>
      <c r="N18" s="365"/>
      <c r="O18" s="5"/>
      <c r="P18" s="5"/>
      <c r="Q18" s="5"/>
    </row>
    <row r="21" spans="15:16" ht="15">
      <c r="O21" s="6"/>
      <c r="P21" s="6"/>
    </row>
    <row r="25" spans="8:9" ht="18.75">
      <c r="H25" s="3"/>
      <c r="I25" s="3"/>
    </row>
    <row r="26" spans="8:9" ht="18.75">
      <c r="H26" s="3"/>
      <c r="I26" s="3"/>
    </row>
  </sheetData>
  <sheetProtection selectLockedCells="1" selectUnlockedCells="1"/>
  <mergeCells count="7">
    <mergeCell ref="J18:N18"/>
    <mergeCell ref="J12:N12"/>
    <mergeCell ref="J11:N11"/>
    <mergeCell ref="G2:Q9"/>
    <mergeCell ref="J13:N13"/>
    <mergeCell ref="J16:N16"/>
    <mergeCell ref="J17:N17"/>
  </mergeCells>
  <printOptions/>
  <pageMargins left="0.511811024" right="0.511811024" top="0.787401575" bottom="0.787401575" header="0.31496062" footer="0.31496062"/>
  <pageSetup orientation="portrait" paperSize="9"/>
  <drawing r:id="rId1"/>
</worksheet>
</file>

<file path=xl/worksheets/sheet10.xml><?xml version="1.0" encoding="utf-8"?>
<worksheet xmlns="http://schemas.openxmlformats.org/spreadsheetml/2006/main" xmlns:r="http://schemas.openxmlformats.org/officeDocument/2006/relationships">
  <sheetPr codeName="Plan9"/>
  <dimension ref="A1:E64"/>
  <sheetViews>
    <sheetView showGridLines="0" showRowColHeaders="0" zoomScalePageLayoutView="0" workbookViewId="0" topLeftCell="A1">
      <pane ySplit="2" topLeftCell="A3" activePane="bottomLeft" state="frozen"/>
      <selection pane="topLeft" activeCell="A1" sqref="A1"/>
      <selection pane="bottomLeft" activeCell="B58" sqref="B58"/>
    </sheetView>
  </sheetViews>
  <sheetFormatPr defaultColWidth="9.140625" defaultRowHeight="15"/>
  <cols>
    <col min="1" max="5" width="20.7109375" style="0" customWidth="1"/>
  </cols>
  <sheetData>
    <row r="1" spans="1:5" ht="19.5" thickBot="1">
      <c r="A1" s="462" t="s">
        <v>218</v>
      </c>
      <c r="B1" s="463"/>
      <c r="C1" s="463"/>
      <c r="D1" s="463"/>
      <c r="E1" s="464"/>
    </row>
    <row r="2" spans="1:5" ht="15.75">
      <c r="A2" s="538" t="s">
        <v>219</v>
      </c>
      <c r="B2" s="539"/>
      <c r="C2" s="539"/>
      <c r="D2" s="539"/>
      <c r="E2" s="540"/>
    </row>
    <row r="3" spans="1:5" ht="15">
      <c r="A3" s="211"/>
      <c r="B3" s="541" t="s">
        <v>220</v>
      </c>
      <c r="C3" s="541"/>
      <c r="D3" s="541"/>
      <c r="E3" s="212"/>
    </row>
    <row r="4" spans="1:5" ht="15">
      <c r="A4" s="542" t="s">
        <v>221</v>
      </c>
      <c r="B4" s="543"/>
      <c r="C4" s="543"/>
      <c r="D4" s="543"/>
      <c r="E4" s="544"/>
    </row>
    <row r="5" spans="1:5" ht="15">
      <c r="A5" s="545" t="s">
        <v>222</v>
      </c>
      <c r="B5" s="546"/>
      <c r="C5" s="546"/>
      <c r="D5" s="546"/>
      <c r="E5" s="547"/>
    </row>
    <row r="6" spans="1:5" ht="15">
      <c r="A6" s="213"/>
      <c r="B6" s="76"/>
      <c r="C6" s="76"/>
      <c r="D6" s="76"/>
      <c r="E6" s="214"/>
    </row>
    <row r="7" spans="1:5" ht="15">
      <c r="A7" s="213"/>
      <c r="B7" s="76"/>
      <c r="C7" s="76"/>
      <c r="D7" s="76"/>
      <c r="E7" s="214"/>
    </row>
    <row r="8" spans="1:5" ht="15">
      <c r="A8" s="213"/>
      <c r="B8" s="76"/>
      <c r="C8" s="76"/>
      <c r="D8" s="76"/>
      <c r="E8" s="214"/>
    </row>
    <row r="9" spans="1:5" ht="15">
      <c r="A9" s="213"/>
      <c r="B9" s="76"/>
      <c r="C9" s="76"/>
      <c r="D9" s="76"/>
      <c r="E9" s="214"/>
    </row>
    <row r="10" spans="1:5" ht="15">
      <c r="A10" s="213"/>
      <c r="B10" s="76"/>
      <c r="C10" s="76"/>
      <c r="D10" s="76"/>
      <c r="E10" s="214"/>
    </row>
    <row r="11" spans="1:5" ht="15">
      <c r="A11" s="213"/>
      <c r="B11" s="76"/>
      <c r="C11" s="76"/>
      <c r="D11" s="76"/>
      <c r="E11" s="214"/>
    </row>
    <row r="12" spans="1:5" ht="15">
      <c r="A12" s="213"/>
      <c r="B12" s="76"/>
      <c r="C12" s="76"/>
      <c r="D12" s="76"/>
      <c r="E12" s="214"/>
    </row>
    <row r="13" spans="1:5" ht="15">
      <c r="A13" s="213"/>
      <c r="B13" s="76"/>
      <c r="C13" s="76"/>
      <c r="D13" s="76"/>
      <c r="E13" s="214"/>
    </row>
    <row r="14" spans="1:5" ht="15">
      <c r="A14" s="213"/>
      <c r="B14" s="76"/>
      <c r="C14" s="76"/>
      <c r="D14" s="76"/>
      <c r="E14" s="214"/>
    </row>
    <row r="15" spans="1:5" ht="15">
      <c r="A15" s="213"/>
      <c r="B15" s="76"/>
      <c r="C15" s="76"/>
      <c r="D15" s="76"/>
      <c r="E15" s="214"/>
    </row>
    <row r="16" spans="1:5" ht="15">
      <c r="A16" s="213"/>
      <c r="B16" s="76"/>
      <c r="C16" s="76"/>
      <c r="D16" s="76"/>
      <c r="E16" s="214"/>
    </row>
    <row r="17" spans="1:5" ht="15">
      <c r="A17" s="213"/>
      <c r="B17" s="76"/>
      <c r="C17" s="76"/>
      <c r="D17" s="76"/>
      <c r="E17" s="214"/>
    </row>
    <row r="18" spans="1:5" ht="15">
      <c r="A18" s="213"/>
      <c r="B18" s="76"/>
      <c r="C18" s="76"/>
      <c r="D18" s="76"/>
      <c r="E18" s="214"/>
    </row>
    <row r="19" spans="1:5" ht="15">
      <c r="A19" s="213"/>
      <c r="B19" s="76"/>
      <c r="C19" s="76"/>
      <c r="D19" s="76"/>
      <c r="E19" s="214"/>
    </row>
    <row r="20" spans="1:5" ht="15">
      <c r="A20" s="213"/>
      <c r="B20" s="76"/>
      <c r="C20" s="76"/>
      <c r="D20" s="76"/>
      <c r="E20" s="214"/>
    </row>
    <row r="21" spans="1:5" ht="15">
      <c r="A21" s="213"/>
      <c r="B21" s="76"/>
      <c r="C21" s="76"/>
      <c r="D21" s="76"/>
      <c r="E21" s="214"/>
    </row>
    <row r="22" spans="1:5" ht="15">
      <c r="A22" s="213"/>
      <c r="B22" s="76"/>
      <c r="C22" s="76"/>
      <c r="D22" s="76"/>
      <c r="E22" s="214"/>
    </row>
    <row r="23" spans="1:5" ht="15">
      <c r="A23" s="213"/>
      <c r="B23" s="76"/>
      <c r="C23" s="76"/>
      <c r="D23" s="76"/>
      <c r="E23" s="214"/>
    </row>
    <row r="24" spans="1:5" ht="15">
      <c r="A24" s="213"/>
      <c r="B24" s="76"/>
      <c r="C24" s="76"/>
      <c r="D24" s="76"/>
      <c r="E24" s="214"/>
    </row>
    <row r="25" spans="1:5" ht="15">
      <c r="A25" s="213"/>
      <c r="B25" s="76"/>
      <c r="C25" s="76"/>
      <c r="D25" s="76"/>
      <c r="E25" s="214"/>
    </row>
    <row r="26" spans="1:5" ht="15">
      <c r="A26" s="213"/>
      <c r="B26" s="76"/>
      <c r="C26" s="76"/>
      <c r="D26" s="76"/>
      <c r="E26" s="214"/>
    </row>
    <row r="27" spans="1:5" ht="15">
      <c r="A27" s="213"/>
      <c r="B27" s="76"/>
      <c r="C27" s="76"/>
      <c r="D27" s="76"/>
      <c r="E27" s="214"/>
    </row>
    <row r="28" spans="1:5" ht="15">
      <c r="A28" s="213"/>
      <c r="B28" s="76"/>
      <c r="C28" s="76"/>
      <c r="D28" s="76"/>
      <c r="E28" s="214"/>
    </row>
    <row r="29" spans="1:5" ht="15">
      <c r="A29" s="213"/>
      <c r="B29" s="76"/>
      <c r="C29" s="76"/>
      <c r="D29" s="76"/>
      <c r="E29" s="214"/>
    </row>
    <row r="30" spans="1:5" ht="15">
      <c r="A30" s="213"/>
      <c r="B30" s="76"/>
      <c r="C30" s="76"/>
      <c r="D30" s="76"/>
      <c r="E30" s="214"/>
    </row>
    <row r="31" spans="1:5" ht="15">
      <c r="A31" s="213"/>
      <c r="B31" s="76"/>
      <c r="C31" s="76"/>
      <c r="D31" s="76"/>
      <c r="E31" s="214"/>
    </row>
    <row r="32" spans="1:5" ht="15">
      <c r="A32" s="529" t="s">
        <v>226</v>
      </c>
      <c r="B32" s="530"/>
      <c r="C32" s="530"/>
      <c r="D32" s="530"/>
      <c r="E32" s="531"/>
    </row>
    <row r="33" spans="1:5" ht="15">
      <c r="A33" s="529"/>
      <c r="B33" s="530"/>
      <c r="C33" s="530"/>
      <c r="D33" s="530"/>
      <c r="E33" s="531"/>
    </row>
    <row r="34" spans="1:5" ht="15" customHeight="1">
      <c r="A34" s="536" t="s">
        <v>224</v>
      </c>
      <c r="B34" s="532" t="s">
        <v>225</v>
      </c>
      <c r="C34" s="532"/>
      <c r="D34" s="532"/>
      <c r="E34" s="533"/>
    </row>
    <row r="35" spans="1:5" ht="15">
      <c r="A35" s="537"/>
      <c r="B35" s="534"/>
      <c r="C35" s="534"/>
      <c r="D35" s="534"/>
      <c r="E35" s="535"/>
    </row>
    <row r="36" spans="1:5" ht="15">
      <c r="A36" s="215"/>
      <c r="B36" s="216"/>
      <c r="C36" s="216"/>
      <c r="D36" s="216"/>
      <c r="E36" s="217"/>
    </row>
    <row r="37" spans="1:5" ht="15">
      <c r="A37" s="213" t="s">
        <v>227</v>
      </c>
      <c r="B37" s="76"/>
      <c r="C37" s="76"/>
      <c r="D37" s="76"/>
      <c r="E37" s="217"/>
    </row>
    <row r="38" spans="1:5" ht="15">
      <c r="A38" s="213"/>
      <c r="B38" s="76"/>
      <c r="C38" s="76"/>
      <c r="D38" s="76"/>
      <c r="E38" s="217"/>
    </row>
    <row r="39" spans="1:5" ht="15.75" thickBot="1">
      <c r="A39" s="213"/>
      <c r="B39" s="76"/>
      <c r="C39" s="76"/>
      <c r="D39" s="76"/>
      <c r="E39" s="217"/>
    </row>
    <row r="40" spans="1:5" ht="15.75" thickBot="1">
      <c r="A40" s="218"/>
      <c r="B40" s="525" t="s">
        <v>223</v>
      </c>
      <c r="C40" s="525"/>
      <c r="D40" s="525"/>
      <c r="E40" s="219"/>
    </row>
    <row r="41" spans="1:5" ht="15">
      <c r="A41" s="213" t="s">
        <v>244</v>
      </c>
      <c r="B41" s="76"/>
      <c r="C41" s="76"/>
      <c r="D41" s="76"/>
      <c r="E41" s="214"/>
    </row>
    <row r="42" spans="1:5" ht="15">
      <c r="A42" s="213" t="s">
        <v>243</v>
      </c>
      <c r="B42" s="76"/>
      <c r="C42" s="76"/>
      <c r="D42" s="76"/>
      <c r="E42" s="214"/>
    </row>
    <row r="43" spans="1:5" ht="15">
      <c r="A43" s="213" t="s">
        <v>242</v>
      </c>
      <c r="B43" s="76"/>
      <c r="C43" s="76"/>
      <c r="D43" s="76"/>
      <c r="E43" s="214"/>
    </row>
    <row r="44" spans="1:5" ht="15">
      <c r="A44" s="223" t="s">
        <v>246</v>
      </c>
      <c r="B44" s="76"/>
      <c r="C44" s="76"/>
      <c r="D44" s="76"/>
      <c r="E44" s="224" t="s">
        <v>245</v>
      </c>
    </row>
    <row r="45" spans="1:5" ht="15">
      <c r="A45" s="213" t="s">
        <v>247</v>
      </c>
      <c r="B45" s="76"/>
      <c r="C45" s="76"/>
      <c r="D45" s="76"/>
      <c r="E45" s="214"/>
    </row>
    <row r="46" spans="1:5" ht="15">
      <c r="A46" s="213" t="s">
        <v>248</v>
      </c>
      <c r="B46" s="76"/>
      <c r="C46" s="76"/>
      <c r="D46" s="76"/>
      <c r="E46" s="214"/>
    </row>
    <row r="47" spans="1:5" ht="15">
      <c r="A47" s="213"/>
      <c r="B47" s="76"/>
      <c r="C47" s="76"/>
      <c r="D47" s="76"/>
      <c r="E47" s="214"/>
    </row>
    <row r="48" spans="1:5" ht="15">
      <c r="A48" s="223" t="s">
        <v>249</v>
      </c>
      <c r="B48" s="76"/>
      <c r="C48" s="76"/>
      <c r="D48" s="76"/>
      <c r="E48" s="214"/>
    </row>
    <row r="49" spans="1:5" ht="15">
      <c r="A49" s="223" t="s">
        <v>250</v>
      </c>
      <c r="B49" s="76"/>
      <c r="C49" s="76"/>
      <c r="D49" s="76"/>
      <c r="E49" s="214"/>
    </row>
    <row r="50" spans="1:5" ht="15.75" thickBot="1">
      <c r="A50" s="223"/>
      <c r="B50" s="76"/>
      <c r="C50" s="76"/>
      <c r="D50" s="76"/>
      <c r="E50" s="214"/>
    </row>
    <row r="51" spans="1:5" ht="15.75" thickBot="1">
      <c r="A51" s="218"/>
      <c r="B51" s="525" t="s">
        <v>251</v>
      </c>
      <c r="C51" s="525"/>
      <c r="D51" s="525"/>
      <c r="E51" s="219"/>
    </row>
    <row r="52" spans="1:5" ht="15">
      <c r="A52" s="223" t="s">
        <v>252</v>
      </c>
      <c r="B52" s="76"/>
      <c r="C52" s="76"/>
      <c r="D52" s="76"/>
      <c r="E52" s="214"/>
    </row>
    <row r="53" spans="1:5" ht="15">
      <c r="A53" s="213" t="s">
        <v>254</v>
      </c>
      <c r="B53" s="76"/>
      <c r="C53" s="76"/>
      <c r="D53" s="76"/>
      <c r="E53" s="214"/>
    </row>
    <row r="54" spans="1:5" ht="15.75" thickBot="1">
      <c r="A54" s="213"/>
      <c r="B54" s="76"/>
      <c r="C54" s="76"/>
      <c r="D54" s="76"/>
      <c r="E54" s="214"/>
    </row>
    <row r="55" spans="1:5" ht="15.75" thickBot="1">
      <c r="A55" s="218"/>
      <c r="B55" s="525" t="s">
        <v>253</v>
      </c>
      <c r="C55" s="525"/>
      <c r="D55" s="525"/>
      <c r="E55" s="219"/>
    </row>
    <row r="56" spans="1:5" ht="52.5" customHeight="1">
      <c r="A56" s="526" t="s">
        <v>260</v>
      </c>
      <c r="B56" s="527"/>
      <c r="C56" s="527"/>
      <c r="D56" s="527"/>
      <c r="E56" s="528"/>
    </row>
    <row r="57" spans="1:5" ht="92.25" customHeight="1">
      <c r="A57" s="526" t="s">
        <v>261</v>
      </c>
      <c r="B57" s="527"/>
      <c r="C57" s="527"/>
      <c r="D57" s="527"/>
      <c r="E57" s="528"/>
    </row>
    <row r="58" spans="1:5" ht="15.75" thickBot="1">
      <c r="A58" s="213"/>
      <c r="B58" s="76"/>
      <c r="C58" s="76"/>
      <c r="D58" s="76"/>
      <c r="E58" s="214"/>
    </row>
    <row r="59" spans="1:5" ht="15.75" thickBot="1">
      <c r="A59" s="218"/>
      <c r="B59" s="525" t="s">
        <v>241</v>
      </c>
      <c r="C59" s="525"/>
      <c r="D59" s="525"/>
      <c r="E59" s="219"/>
    </row>
    <row r="60" spans="1:5" ht="39.75" customHeight="1">
      <c r="A60" s="548" t="s">
        <v>255</v>
      </c>
      <c r="B60" s="549"/>
      <c r="C60" s="549"/>
      <c r="D60" s="549"/>
      <c r="E60" s="550"/>
    </row>
    <row r="61" spans="1:5" ht="39.75" customHeight="1">
      <c r="A61" s="548" t="s">
        <v>256</v>
      </c>
      <c r="B61" s="549"/>
      <c r="C61" s="549"/>
      <c r="D61" s="549"/>
      <c r="E61" s="550"/>
    </row>
    <row r="62" spans="1:5" ht="39.75" customHeight="1">
      <c r="A62" s="548" t="s">
        <v>257</v>
      </c>
      <c r="B62" s="549"/>
      <c r="C62" s="549"/>
      <c r="D62" s="549"/>
      <c r="E62" s="550"/>
    </row>
    <row r="63" spans="1:5" ht="39.75" customHeight="1">
      <c r="A63" s="548" t="s">
        <v>258</v>
      </c>
      <c r="B63" s="549"/>
      <c r="C63" s="549"/>
      <c r="D63" s="549"/>
      <c r="E63" s="550"/>
    </row>
    <row r="64" spans="1:5" ht="39.75" customHeight="1">
      <c r="A64" s="551" t="s">
        <v>259</v>
      </c>
      <c r="B64" s="552"/>
      <c r="C64" s="552"/>
      <c r="D64" s="552"/>
      <c r="E64" s="553"/>
    </row>
  </sheetData>
  <sheetProtection selectLockedCells="1" selectUnlockedCells="1"/>
  <mergeCells count="19">
    <mergeCell ref="A60:E60"/>
    <mergeCell ref="A61:E61"/>
    <mergeCell ref="A62:E62"/>
    <mergeCell ref="A63:E63"/>
    <mergeCell ref="A64:E64"/>
    <mergeCell ref="A32:E33"/>
    <mergeCell ref="B34:E35"/>
    <mergeCell ref="A34:A35"/>
    <mergeCell ref="A1:E1"/>
    <mergeCell ref="A2:E2"/>
    <mergeCell ref="B3:D3"/>
    <mergeCell ref="A4:E4"/>
    <mergeCell ref="A5:E5"/>
    <mergeCell ref="B51:D51"/>
    <mergeCell ref="B55:D55"/>
    <mergeCell ref="B59:D59"/>
    <mergeCell ref="B40:D40"/>
    <mergeCell ref="A56:E56"/>
    <mergeCell ref="A57:E57"/>
  </mergeCells>
  <printOptions/>
  <pageMargins left="0.511811024" right="0.511811024" top="0.787401575" bottom="0.787401575" header="0.31496062" footer="0.3149606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dimension ref="A1:Z93"/>
  <sheetViews>
    <sheetView showGridLines="0" showRowColHeaders="0" zoomScalePageLayoutView="0" workbookViewId="0" topLeftCell="A1">
      <pane ySplit="2" topLeftCell="A3" activePane="bottomLeft" state="frozen"/>
      <selection pane="topLeft" activeCell="A1" sqref="A1"/>
      <selection pane="bottomLeft" activeCell="N4" sqref="N4"/>
    </sheetView>
  </sheetViews>
  <sheetFormatPr defaultColWidth="9.140625" defaultRowHeight="15"/>
  <cols>
    <col min="1" max="1" width="17.28125" style="8" customWidth="1"/>
    <col min="2" max="2" width="9.140625" style="28" customWidth="1"/>
    <col min="3" max="3" width="21.57421875" style="8" customWidth="1"/>
    <col min="4" max="4" width="3.00390625" style="8" customWidth="1"/>
    <col min="5" max="5" width="1.7109375" style="8" customWidth="1"/>
    <col min="6" max="6" width="10.140625" style="7" customWidth="1"/>
    <col min="7" max="7" width="3.00390625" style="7" customWidth="1"/>
    <col min="8" max="8" width="5.7109375" style="7" customWidth="1"/>
    <col min="9" max="9" width="3.28125" style="7" customWidth="1"/>
    <col min="10" max="10" width="2.7109375" style="0" customWidth="1"/>
    <col min="11" max="11" width="16.28125" style="8" customWidth="1"/>
    <col min="12" max="12" width="17.57421875" style="8" customWidth="1"/>
    <col min="13" max="13" width="19.421875" style="8" customWidth="1"/>
    <col min="14" max="14" width="16.8515625" style="8" customWidth="1"/>
    <col min="15" max="15" width="4.57421875" style="8" customWidth="1"/>
    <col min="16" max="16" width="12.28125" style="0" customWidth="1"/>
    <col min="17" max="17" width="20.7109375" style="8" customWidth="1"/>
    <col min="18" max="18" width="11.7109375" style="7" customWidth="1"/>
    <col min="19" max="19" width="22.57421875" style="8" customWidth="1"/>
    <col min="20" max="20" width="21.57421875" style="8" customWidth="1"/>
    <col min="21" max="24" width="9.140625" style="8" customWidth="1"/>
    <col min="25" max="16384" width="9.140625" style="8" customWidth="1"/>
  </cols>
  <sheetData>
    <row r="1" spans="1:22" ht="19.5" thickBot="1">
      <c r="A1" s="372" t="s">
        <v>7</v>
      </c>
      <c r="B1" s="373"/>
      <c r="C1" s="373"/>
      <c r="D1" s="373"/>
      <c r="E1" s="380" t="s">
        <v>190</v>
      </c>
      <c r="F1" s="381"/>
      <c r="G1" s="384" t="s">
        <v>213</v>
      </c>
      <c r="H1" s="385"/>
      <c r="I1" s="386"/>
      <c r="J1" s="225"/>
      <c r="K1" s="370" t="s">
        <v>30</v>
      </c>
      <c r="L1" s="371"/>
      <c r="M1" s="371"/>
      <c r="N1" s="371"/>
      <c r="O1" s="225"/>
      <c r="P1" s="375" t="s">
        <v>171</v>
      </c>
      <c r="Q1" s="375"/>
      <c r="R1" s="375"/>
      <c r="S1" s="375"/>
      <c r="T1" s="226"/>
      <c r="U1" s="226"/>
      <c r="V1" s="83"/>
    </row>
    <row r="2" spans="1:22" ht="24" customHeight="1" thickBot="1">
      <c r="A2" s="227" t="s">
        <v>8</v>
      </c>
      <c r="B2" s="228" t="s">
        <v>9</v>
      </c>
      <c r="C2" s="378" t="s">
        <v>10</v>
      </c>
      <c r="D2" s="379"/>
      <c r="E2" s="382">
        <v>42</v>
      </c>
      <c r="F2" s="383"/>
      <c r="G2" s="387"/>
      <c r="H2" s="388"/>
      <c r="I2" s="389"/>
      <c r="J2" s="229">
        <v>0</v>
      </c>
      <c r="K2" s="227" t="s">
        <v>75</v>
      </c>
      <c r="L2" s="227" t="s">
        <v>76</v>
      </c>
      <c r="M2" s="227" t="s">
        <v>29</v>
      </c>
      <c r="N2" s="227" t="s">
        <v>209</v>
      </c>
      <c r="O2" s="225"/>
      <c r="P2" s="304"/>
      <c r="Q2" s="305" t="s">
        <v>11</v>
      </c>
      <c r="R2" s="306"/>
      <c r="S2" s="307"/>
      <c r="T2" s="307"/>
      <c r="U2" s="307"/>
      <c r="V2" s="83"/>
    </row>
    <row r="3" spans="1:26" ht="18" customHeight="1" thickBot="1">
      <c r="A3" s="230">
        <v>1</v>
      </c>
      <c r="B3" s="272">
        <v>5</v>
      </c>
      <c r="C3" s="231"/>
      <c r="D3" s="272">
        <v>13</v>
      </c>
      <c r="E3" s="232"/>
      <c r="F3" s="233">
        <v>1</v>
      </c>
      <c r="G3" s="234">
        <v>1</v>
      </c>
      <c r="H3" s="235">
        <f>IF(A3&lt;=$N$3,A3,"")</f>
        <v>1</v>
      </c>
      <c r="I3" s="236"/>
      <c r="J3" s="237">
        <v>1</v>
      </c>
      <c r="K3" s="238"/>
      <c r="L3" s="239"/>
      <c r="M3" s="273">
        <v>25</v>
      </c>
      <c r="N3" s="274">
        <v>15</v>
      </c>
      <c r="O3" s="240"/>
      <c r="P3" s="302"/>
      <c r="Q3" s="241" t="s">
        <v>80</v>
      </c>
      <c r="R3" s="300">
        <v>1</v>
      </c>
      <c r="S3" s="226" t="s">
        <v>77</v>
      </c>
      <c r="T3" s="226"/>
      <c r="U3" s="226"/>
      <c r="V3" s="299"/>
      <c r="W3" s="132"/>
      <c r="X3" s="149"/>
      <c r="Y3" s="149"/>
      <c r="Z3" s="149"/>
    </row>
    <row r="4" spans="1:26" ht="18" customHeight="1">
      <c r="A4" s="242">
        <v>2</v>
      </c>
      <c r="B4" s="272">
        <v>5</v>
      </c>
      <c r="C4" s="231"/>
      <c r="D4" s="272">
        <v>13</v>
      </c>
      <c r="E4" s="243"/>
      <c r="F4" s="233">
        <v>2</v>
      </c>
      <c r="G4" s="244">
        <v>2</v>
      </c>
      <c r="H4" s="235">
        <f>IF(A4&lt;=$N$3,A4,"")</f>
        <v>2</v>
      </c>
      <c r="I4" s="236"/>
      <c r="J4" s="237">
        <v>2</v>
      </c>
      <c r="K4" s="153">
        <v>2</v>
      </c>
      <c r="L4" s="153">
        <v>6</v>
      </c>
      <c r="M4" s="246">
        <f>IF(M3&gt;200,"Corrigir Diametro","")</f>
      </c>
      <c r="N4" s="247"/>
      <c r="O4" s="247"/>
      <c r="P4" s="248">
        <v>1</v>
      </c>
      <c r="Q4" s="249" t="s">
        <v>13</v>
      </c>
      <c r="R4" s="250">
        <v>2</v>
      </c>
      <c r="S4" s="226" t="s">
        <v>78</v>
      </c>
      <c r="T4" s="226"/>
      <c r="U4" s="226"/>
      <c r="V4" s="299"/>
      <c r="W4" s="132"/>
      <c r="X4" s="149"/>
      <c r="Y4" s="149"/>
      <c r="Z4" s="149"/>
    </row>
    <row r="5" spans="1:26" ht="18" customHeight="1">
      <c r="A5" s="242">
        <v>3</v>
      </c>
      <c r="B5" s="272">
        <v>4</v>
      </c>
      <c r="C5" s="231"/>
      <c r="D5" s="272">
        <v>13</v>
      </c>
      <c r="E5" s="243"/>
      <c r="F5" s="233">
        <v>3</v>
      </c>
      <c r="G5" s="234">
        <v>3</v>
      </c>
      <c r="H5" s="235">
        <f aca="true" t="shared" si="0" ref="H5:H42">IF(A5&lt;=$N$3,A5,"")</f>
        <v>3</v>
      </c>
      <c r="I5" s="236"/>
      <c r="J5" s="237">
        <v>3</v>
      </c>
      <c r="K5" s="247"/>
      <c r="L5" s="247"/>
      <c r="M5" s="247"/>
      <c r="N5" s="247"/>
      <c r="O5" s="247"/>
      <c r="P5" s="251">
        <v>2</v>
      </c>
      <c r="Q5" s="356"/>
      <c r="R5" s="300" t="s">
        <v>282</v>
      </c>
      <c r="S5" s="226"/>
      <c r="T5" s="226"/>
      <c r="U5" s="226"/>
      <c r="V5" s="299"/>
      <c r="W5" s="132"/>
      <c r="X5" s="149"/>
      <c r="Y5" s="149"/>
      <c r="Z5" s="149"/>
    </row>
    <row r="6" spans="1:26" ht="18" customHeight="1" thickBot="1">
      <c r="A6" s="242">
        <v>4</v>
      </c>
      <c r="B6" s="272">
        <v>6</v>
      </c>
      <c r="C6" s="231"/>
      <c r="D6" s="272">
        <v>13</v>
      </c>
      <c r="E6" s="243"/>
      <c r="F6" s="233">
        <v>4</v>
      </c>
      <c r="G6" s="244">
        <v>4</v>
      </c>
      <c r="H6" s="235">
        <f t="shared" si="0"/>
        <v>4</v>
      </c>
      <c r="I6" s="236"/>
      <c r="J6" s="237">
        <v>4</v>
      </c>
      <c r="K6" s="247"/>
      <c r="L6" s="247"/>
      <c r="M6" s="247"/>
      <c r="N6" s="247"/>
      <c r="O6" s="247"/>
      <c r="P6" s="251">
        <v>3</v>
      </c>
      <c r="Q6" s="226" t="s">
        <v>15</v>
      </c>
      <c r="R6" s="300">
        <v>1</v>
      </c>
      <c r="S6" s="226" t="s">
        <v>58</v>
      </c>
      <c r="T6" s="226" t="str">
        <f>IF($K$4=1,"Vibrada Concreto","-")</f>
        <v>-</v>
      </c>
      <c r="U6" s="226"/>
      <c r="V6" s="299"/>
      <c r="W6" s="132"/>
      <c r="X6" s="149"/>
      <c r="Y6" s="149"/>
      <c r="Z6" s="149"/>
    </row>
    <row r="7" spans="1:26" ht="18" customHeight="1" thickBot="1">
      <c r="A7" s="242">
        <v>5</v>
      </c>
      <c r="B7" s="272">
        <v>10</v>
      </c>
      <c r="C7" s="231"/>
      <c r="D7" s="272">
        <v>13</v>
      </c>
      <c r="E7" s="243"/>
      <c r="F7" s="233">
        <v>5</v>
      </c>
      <c r="G7" s="234">
        <v>5</v>
      </c>
      <c r="H7" s="235">
        <f t="shared" si="0"/>
        <v>5</v>
      </c>
      <c r="I7" s="236"/>
      <c r="J7" s="237">
        <v>5</v>
      </c>
      <c r="K7" s="372" t="s">
        <v>79</v>
      </c>
      <c r="L7" s="373"/>
      <c r="M7" s="373"/>
      <c r="N7" s="374"/>
      <c r="O7" s="247"/>
      <c r="P7" s="248">
        <v>4</v>
      </c>
      <c r="Q7" s="226" t="s">
        <v>16</v>
      </c>
      <c r="R7" s="300">
        <v>2</v>
      </c>
      <c r="S7" s="226" t="s">
        <v>59</v>
      </c>
      <c r="T7" s="226" t="str">
        <f>IF($K$4=1,"Centrifugada Concreto","-")</f>
        <v>-</v>
      </c>
      <c r="U7" s="226"/>
      <c r="V7" s="299"/>
      <c r="W7" s="132"/>
      <c r="X7" s="149"/>
      <c r="Y7" s="149"/>
      <c r="Z7" s="149"/>
    </row>
    <row r="8" spans="1:26" ht="18" customHeight="1" thickBot="1">
      <c r="A8" s="242">
        <v>6</v>
      </c>
      <c r="B8" s="272">
        <v>9</v>
      </c>
      <c r="C8" s="231"/>
      <c r="D8" s="272">
        <v>13</v>
      </c>
      <c r="E8" s="243"/>
      <c r="F8" s="233">
        <v>6</v>
      </c>
      <c r="G8" s="244">
        <v>6</v>
      </c>
      <c r="H8" s="235">
        <f t="shared" si="0"/>
        <v>6</v>
      </c>
      <c r="I8" s="236"/>
      <c r="J8" s="237">
        <v>6</v>
      </c>
      <c r="K8" s="252">
        <f>IF($L$4=4,"Inserir área","")</f>
      </c>
      <c r="L8" s="252">
        <f>IF($L$4=4,"Inserir Perímetro","")</f>
      </c>
      <c r="M8" s="227" t="s">
        <v>96</v>
      </c>
      <c r="N8" s="227" t="s">
        <v>97</v>
      </c>
      <c r="O8" s="247"/>
      <c r="P8" s="251">
        <v>5</v>
      </c>
      <c r="Q8" s="226" t="s">
        <v>17</v>
      </c>
      <c r="R8" s="300">
        <v>3</v>
      </c>
      <c r="S8" s="226" t="s">
        <v>60</v>
      </c>
      <c r="T8" s="226" t="str">
        <f>IF($K$4=1,"Madeira","-")</f>
        <v>-</v>
      </c>
      <c r="U8" s="226"/>
      <c r="V8" s="299"/>
      <c r="W8" s="132"/>
      <c r="X8" s="149"/>
      <c r="Y8" s="149"/>
      <c r="Z8" s="149"/>
    </row>
    <row r="9" spans="1:26" ht="18" customHeight="1" thickBot="1">
      <c r="A9" s="242">
        <v>7</v>
      </c>
      <c r="B9" s="272">
        <v>14</v>
      </c>
      <c r="C9" s="231"/>
      <c r="D9" s="272">
        <v>13</v>
      </c>
      <c r="E9" s="243"/>
      <c r="F9" s="233">
        <v>7</v>
      </c>
      <c r="G9" s="234">
        <v>7</v>
      </c>
      <c r="H9" s="235">
        <f t="shared" si="0"/>
        <v>7</v>
      </c>
      <c r="I9" s="236"/>
      <c r="J9" s="237">
        <v>7</v>
      </c>
      <c r="K9" s="275"/>
      <c r="L9" s="276"/>
      <c r="M9" s="253">
        <f>IF($L$4=4,$K$9,IF($L$4=9,$N$10,(PI()*$M$3^2)/4))</f>
        <v>490.8738521234052</v>
      </c>
      <c r="N9" s="254">
        <f>IF($L$4=4,$L$9,PI()*$M$3)</f>
        <v>78.53981633974483</v>
      </c>
      <c r="O9" s="247"/>
      <c r="P9" s="251">
        <v>6</v>
      </c>
      <c r="Q9" s="249" t="s">
        <v>18</v>
      </c>
      <c r="R9" s="300">
        <v>4</v>
      </c>
      <c r="S9" s="226" t="s">
        <v>85</v>
      </c>
      <c r="T9" s="226" t="str">
        <f>IF($K$4=1,"Metálica","-")</f>
        <v>-</v>
      </c>
      <c r="U9" s="226"/>
      <c r="V9" s="299"/>
      <c r="W9" s="132"/>
      <c r="X9" s="149"/>
      <c r="Y9" s="149"/>
      <c r="Z9" s="149"/>
    </row>
    <row r="10" spans="1:26" ht="18" customHeight="1">
      <c r="A10" s="242">
        <v>8</v>
      </c>
      <c r="B10" s="272">
        <v>12</v>
      </c>
      <c r="C10" s="231"/>
      <c r="D10" s="272">
        <v>13</v>
      </c>
      <c r="E10" s="243"/>
      <c r="F10" s="233">
        <v>8</v>
      </c>
      <c r="G10" s="244">
        <v>8</v>
      </c>
      <c r="H10" s="235">
        <f t="shared" si="0"/>
        <v>8</v>
      </c>
      <c r="I10" s="236"/>
      <c r="J10" s="237">
        <v>8</v>
      </c>
      <c r="K10" s="376">
        <f>IF($L$4=9,"Inserir Volume da base (litros)","")</f>
      </c>
      <c r="L10" s="282">
        <v>180</v>
      </c>
      <c r="M10" s="255">
        <f>IF($L$4=9,"Base Alargada (cm²)","")</f>
      </c>
      <c r="N10" s="281">
        <f>IF($L$4=9,PI()*L11^2*10000,"")</f>
      </c>
      <c r="O10" s="245"/>
      <c r="P10" s="248">
        <v>7</v>
      </c>
      <c r="Q10" s="226" t="s">
        <v>19</v>
      </c>
      <c r="R10" s="300">
        <v>5</v>
      </c>
      <c r="S10" s="226" t="s">
        <v>61</v>
      </c>
      <c r="T10" s="226" t="str">
        <f>IF($K$4=2,"Strauss","-")</f>
        <v>Strauss</v>
      </c>
      <c r="U10" s="226"/>
      <c r="V10" s="299"/>
      <c r="W10" s="132"/>
      <c r="X10" s="149"/>
      <c r="Y10" s="149"/>
      <c r="Z10" s="149"/>
    </row>
    <row r="11" spans="1:26" ht="18" customHeight="1" thickBot="1">
      <c r="A11" s="242">
        <v>9</v>
      </c>
      <c r="B11" s="272">
        <v>15</v>
      </c>
      <c r="C11" s="231"/>
      <c r="D11" s="272">
        <v>13</v>
      </c>
      <c r="E11" s="243"/>
      <c r="F11" s="233">
        <v>9</v>
      </c>
      <c r="G11" s="234">
        <v>9</v>
      </c>
      <c r="H11" s="235">
        <f t="shared" si="0"/>
        <v>9</v>
      </c>
      <c r="I11" s="236"/>
      <c r="J11" s="237">
        <v>9</v>
      </c>
      <c r="K11" s="377"/>
      <c r="L11" s="280">
        <f>(((L10/1000)*3)/(4*PI()))^(1/3)</f>
        <v>0.35026329748222085</v>
      </c>
      <c r="M11" s="247"/>
      <c r="N11" s="247"/>
      <c r="O11" s="245"/>
      <c r="P11" s="251">
        <v>8</v>
      </c>
      <c r="Q11" s="226" t="s">
        <v>20</v>
      </c>
      <c r="R11" s="300">
        <v>6</v>
      </c>
      <c r="S11" s="226" t="s">
        <v>62</v>
      </c>
      <c r="T11" s="226" t="str">
        <f>IF($K$4=2,"Escavada","-")</f>
        <v>Escavada</v>
      </c>
      <c r="U11" s="226"/>
      <c r="V11" s="299"/>
      <c r="W11" s="132"/>
      <c r="X11" s="149"/>
      <c r="Y11" s="149"/>
      <c r="Z11" s="149"/>
    </row>
    <row r="12" spans="1:26" ht="18" customHeight="1" thickBot="1">
      <c r="A12" s="242">
        <v>10</v>
      </c>
      <c r="B12" s="272">
        <v>12</v>
      </c>
      <c r="C12" s="231"/>
      <c r="D12" s="272">
        <v>13</v>
      </c>
      <c r="E12" s="243"/>
      <c r="F12" s="233">
        <v>10</v>
      </c>
      <c r="G12" s="244">
        <v>10</v>
      </c>
      <c r="H12" s="235">
        <f t="shared" si="0"/>
        <v>10</v>
      </c>
      <c r="I12" s="236"/>
      <c r="J12" s="237">
        <v>10</v>
      </c>
      <c r="K12" s="372" t="s">
        <v>210</v>
      </c>
      <c r="L12" s="373"/>
      <c r="M12" s="373"/>
      <c r="N12" s="374"/>
      <c r="O12" s="245"/>
      <c r="P12" s="251">
        <v>9</v>
      </c>
      <c r="Q12" s="226" t="s">
        <v>21</v>
      </c>
      <c r="R12" s="300">
        <v>7</v>
      </c>
      <c r="S12" s="226" t="s">
        <v>63</v>
      </c>
      <c r="T12" s="226" t="str">
        <f>IF($K$4=2,"Estacão","-")</f>
        <v>Estacão</v>
      </c>
      <c r="U12" s="226"/>
      <c r="V12" s="299"/>
      <c r="W12" s="132"/>
      <c r="X12" s="149"/>
      <c r="Y12" s="149"/>
      <c r="Z12" s="149"/>
    </row>
    <row r="13" spans="1:26" ht="18" customHeight="1">
      <c r="A13" s="242">
        <v>11</v>
      </c>
      <c r="B13" s="272">
        <v>18</v>
      </c>
      <c r="C13" s="231"/>
      <c r="D13" s="272">
        <v>13</v>
      </c>
      <c r="E13" s="243"/>
      <c r="F13" s="233">
        <v>11</v>
      </c>
      <c r="G13" s="234">
        <v>11</v>
      </c>
      <c r="H13" s="235">
        <f t="shared" si="0"/>
        <v>11</v>
      </c>
      <c r="I13" s="236"/>
      <c r="J13" s="237">
        <v>11</v>
      </c>
      <c r="K13" s="256"/>
      <c r="L13" s="257"/>
      <c r="M13" s="257"/>
      <c r="N13" s="258"/>
      <c r="O13" s="245"/>
      <c r="P13" s="248">
        <v>10</v>
      </c>
      <c r="Q13" s="226" t="s">
        <v>22</v>
      </c>
      <c r="R13" s="300">
        <v>8</v>
      </c>
      <c r="S13" s="226" t="s">
        <v>65</v>
      </c>
      <c r="T13" s="226" t="str">
        <f>IF($K$4=2,"Apiloada","-")</f>
        <v>Apiloada</v>
      </c>
      <c r="U13" s="226"/>
      <c r="V13" s="299"/>
      <c r="W13" s="132"/>
      <c r="X13" s="149"/>
      <c r="Y13" s="149"/>
      <c r="Z13" s="149"/>
    </row>
    <row r="14" spans="1:26" ht="18" customHeight="1">
      <c r="A14" s="242">
        <v>12</v>
      </c>
      <c r="B14" s="272">
        <v>20</v>
      </c>
      <c r="C14" s="231"/>
      <c r="D14" s="272">
        <v>13</v>
      </c>
      <c r="E14" s="243"/>
      <c r="F14" s="233">
        <v>12</v>
      </c>
      <c r="G14" s="244">
        <v>12</v>
      </c>
      <c r="H14" s="235">
        <f t="shared" si="0"/>
        <v>12</v>
      </c>
      <c r="I14" s="236"/>
      <c r="J14" s="237">
        <v>12</v>
      </c>
      <c r="K14" s="256"/>
      <c r="L14" s="257"/>
      <c r="M14" s="257"/>
      <c r="N14" s="258"/>
      <c r="O14" s="245"/>
      <c r="P14" s="251">
        <v>11</v>
      </c>
      <c r="Q14" s="249" t="s">
        <v>23</v>
      </c>
      <c r="R14" s="300">
        <v>9</v>
      </c>
      <c r="S14" s="226" t="s">
        <v>66</v>
      </c>
      <c r="T14" s="226" t="str">
        <f>IF($K$4=2,"Franki","-")</f>
        <v>Franki</v>
      </c>
      <c r="U14" s="226"/>
      <c r="V14" s="299"/>
      <c r="W14" s="132"/>
      <c r="X14" s="149"/>
      <c r="Y14" s="149"/>
      <c r="Z14" s="149"/>
    </row>
    <row r="15" spans="1:26" ht="18" customHeight="1">
      <c r="A15" s="242">
        <v>13</v>
      </c>
      <c r="B15" s="272">
        <v>26</v>
      </c>
      <c r="C15" s="231"/>
      <c r="D15" s="272">
        <v>13</v>
      </c>
      <c r="E15" s="243"/>
      <c r="F15" s="233">
        <v>13</v>
      </c>
      <c r="G15" s="234">
        <v>13</v>
      </c>
      <c r="H15" s="235">
        <f t="shared" si="0"/>
        <v>13</v>
      </c>
      <c r="I15" s="236"/>
      <c r="J15" s="237">
        <v>13</v>
      </c>
      <c r="K15" s="256"/>
      <c r="L15" s="257"/>
      <c r="M15" s="257"/>
      <c r="N15" s="258"/>
      <c r="O15" s="245"/>
      <c r="P15" s="251">
        <v>12</v>
      </c>
      <c r="Q15" s="226" t="s">
        <v>24</v>
      </c>
      <c r="R15" s="300">
        <v>10</v>
      </c>
      <c r="S15" s="226" t="s">
        <v>68</v>
      </c>
      <c r="T15" s="226" t="str">
        <f>IF($K$4=2,"Raiz","-")</f>
        <v>Raiz</v>
      </c>
      <c r="U15" s="226"/>
      <c r="V15" s="299"/>
      <c r="W15" s="132"/>
      <c r="X15" s="149"/>
      <c r="Y15" s="149"/>
      <c r="Z15" s="149"/>
    </row>
    <row r="16" spans="1:26" ht="18" customHeight="1">
      <c r="A16" s="242">
        <v>14</v>
      </c>
      <c r="B16" s="272">
        <v>33</v>
      </c>
      <c r="C16" s="231"/>
      <c r="D16" s="272">
        <v>13</v>
      </c>
      <c r="E16" s="243"/>
      <c r="F16" s="233">
        <v>14</v>
      </c>
      <c r="G16" s="244">
        <v>14</v>
      </c>
      <c r="H16" s="235">
        <f t="shared" si="0"/>
        <v>14</v>
      </c>
      <c r="I16" s="236"/>
      <c r="J16" s="237">
        <v>14</v>
      </c>
      <c r="K16" s="256"/>
      <c r="L16" s="257"/>
      <c r="M16" s="257"/>
      <c r="N16" s="258"/>
      <c r="O16" s="245"/>
      <c r="P16" s="248">
        <v>13</v>
      </c>
      <c r="Q16" s="226" t="s">
        <v>25</v>
      </c>
      <c r="R16" s="300">
        <v>11</v>
      </c>
      <c r="S16" s="226" t="s">
        <v>70</v>
      </c>
      <c r="T16" s="226" t="str">
        <f>IF($K$4=2,"Hélice Contínua","-")</f>
        <v>Hélice Contínua</v>
      </c>
      <c r="U16" s="226"/>
      <c r="V16" s="299"/>
      <c r="W16" s="132"/>
      <c r="X16" s="149"/>
      <c r="Y16" s="149"/>
      <c r="Z16" s="149"/>
    </row>
    <row r="17" spans="1:26" ht="18" customHeight="1">
      <c r="A17" s="242">
        <v>15</v>
      </c>
      <c r="B17" s="272">
        <v>45</v>
      </c>
      <c r="C17" s="231"/>
      <c r="D17" s="272">
        <v>13</v>
      </c>
      <c r="E17" s="243"/>
      <c r="F17" s="233">
        <v>15</v>
      </c>
      <c r="G17" s="234">
        <v>15</v>
      </c>
      <c r="H17" s="235">
        <f t="shared" si="0"/>
        <v>15</v>
      </c>
      <c r="I17" s="236"/>
      <c r="J17" s="237">
        <v>15</v>
      </c>
      <c r="K17" s="256"/>
      <c r="L17" s="257"/>
      <c r="M17" s="257"/>
      <c r="N17" s="258"/>
      <c r="O17" s="245"/>
      <c r="P17" s="251">
        <v>14</v>
      </c>
      <c r="Q17" s="226" t="s">
        <v>26</v>
      </c>
      <c r="R17" s="300"/>
      <c r="S17" s="226"/>
      <c r="T17" s="226"/>
      <c r="U17" s="226"/>
      <c r="V17" s="316"/>
      <c r="W17" s="132"/>
      <c r="X17" s="149"/>
      <c r="Y17" s="149"/>
      <c r="Z17" s="149"/>
    </row>
    <row r="18" spans="1:26" ht="18" customHeight="1">
      <c r="A18" s="242">
        <v>16</v>
      </c>
      <c r="B18" s="272">
        <v>6</v>
      </c>
      <c r="C18" s="231"/>
      <c r="D18" s="272">
        <v>13</v>
      </c>
      <c r="E18" s="243"/>
      <c r="F18" s="233">
        <v>16</v>
      </c>
      <c r="G18" s="244">
        <v>16</v>
      </c>
      <c r="H18" s="235">
        <f t="shared" si="0"/>
      </c>
      <c r="I18" s="236"/>
      <c r="J18" s="237">
        <v>16</v>
      </c>
      <c r="K18" s="256"/>
      <c r="L18" s="257"/>
      <c r="M18" s="257"/>
      <c r="N18" s="258"/>
      <c r="O18" s="245"/>
      <c r="P18" s="251">
        <v>15</v>
      </c>
      <c r="Q18" s="226" t="s">
        <v>27</v>
      </c>
      <c r="R18" s="300"/>
      <c r="S18" s="226"/>
      <c r="T18" s="226"/>
      <c r="U18" s="226"/>
      <c r="V18" s="299"/>
      <c r="W18" s="132"/>
      <c r="X18" s="149"/>
      <c r="Y18" s="149"/>
      <c r="Z18" s="149"/>
    </row>
    <row r="19" spans="1:26" ht="18" customHeight="1">
      <c r="A19" s="242">
        <v>17</v>
      </c>
      <c r="B19" s="272">
        <v>12</v>
      </c>
      <c r="C19" s="231"/>
      <c r="D19" s="272">
        <v>13</v>
      </c>
      <c r="E19" s="243"/>
      <c r="F19" s="233">
        <v>17</v>
      </c>
      <c r="G19" s="234">
        <v>17</v>
      </c>
      <c r="H19" s="235">
        <f t="shared" si="0"/>
      </c>
      <c r="I19" s="236"/>
      <c r="J19" s="237">
        <v>17</v>
      </c>
      <c r="K19" s="256"/>
      <c r="L19" s="257"/>
      <c r="M19" s="257"/>
      <c r="N19" s="258"/>
      <c r="O19" s="245"/>
      <c r="P19" s="237"/>
      <c r="Q19" s="245"/>
      <c r="R19" s="259"/>
      <c r="S19" s="245"/>
      <c r="T19" s="245"/>
      <c r="U19" s="245"/>
      <c r="V19" s="317"/>
      <c r="W19" s="132"/>
      <c r="X19" s="149"/>
      <c r="Y19" s="149"/>
      <c r="Z19" s="149"/>
    </row>
    <row r="20" spans="1:26" ht="18" customHeight="1">
      <c r="A20" s="242">
        <v>18</v>
      </c>
      <c r="B20" s="272">
        <v>23</v>
      </c>
      <c r="C20" s="231"/>
      <c r="D20" s="272">
        <v>13</v>
      </c>
      <c r="E20" s="243"/>
      <c r="F20" s="233">
        <v>18</v>
      </c>
      <c r="G20" s="244">
        <v>18</v>
      </c>
      <c r="H20" s="235">
        <f t="shared" si="0"/>
      </c>
      <c r="I20" s="236"/>
      <c r="J20" s="237">
        <v>18</v>
      </c>
      <c r="K20" s="256"/>
      <c r="L20" s="257"/>
      <c r="M20" s="257"/>
      <c r="N20" s="258"/>
      <c r="O20" s="245"/>
      <c r="P20" s="237"/>
      <c r="Q20" s="245"/>
      <c r="R20" s="259"/>
      <c r="S20" s="245"/>
      <c r="T20" s="245"/>
      <c r="U20" s="245"/>
      <c r="V20" s="317"/>
      <c r="W20" s="132"/>
      <c r="X20" s="149"/>
      <c r="Y20" s="149"/>
      <c r="Z20" s="149"/>
    </row>
    <row r="21" spans="1:26" ht="18" customHeight="1">
      <c r="A21" s="242">
        <v>19</v>
      </c>
      <c r="B21" s="272">
        <v>23</v>
      </c>
      <c r="C21" s="231"/>
      <c r="D21" s="272">
        <v>13</v>
      </c>
      <c r="E21" s="243"/>
      <c r="F21" s="233">
        <v>19</v>
      </c>
      <c r="G21" s="234">
        <v>19</v>
      </c>
      <c r="H21" s="235">
        <f t="shared" si="0"/>
      </c>
      <c r="I21" s="236"/>
      <c r="J21" s="237">
        <v>19</v>
      </c>
      <c r="K21" s="256"/>
      <c r="L21" s="257"/>
      <c r="M21" s="257"/>
      <c r="N21" s="258"/>
      <c r="O21" s="245"/>
      <c r="P21" s="237"/>
      <c r="Q21" s="245"/>
      <c r="R21" s="259"/>
      <c r="S21" s="245"/>
      <c r="T21" s="245"/>
      <c r="U21" s="245"/>
      <c r="V21" s="299"/>
      <c r="W21" s="132"/>
      <c r="X21" s="149"/>
      <c r="Y21" s="149"/>
      <c r="Z21" s="149"/>
    </row>
    <row r="22" spans="1:26" ht="18" customHeight="1" thickBot="1">
      <c r="A22" s="242">
        <v>20</v>
      </c>
      <c r="B22" s="272">
        <v>41</v>
      </c>
      <c r="C22" s="231"/>
      <c r="D22" s="272">
        <v>13</v>
      </c>
      <c r="E22" s="243"/>
      <c r="F22" s="233">
        <v>20</v>
      </c>
      <c r="G22" s="244">
        <v>20</v>
      </c>
      <c r="H22" s="235">
        <f t="shared" si="0"/>
      </c>
      <c r="I22" s="236"/>
      <c r="J22" s="237">
        <v>20</v>
      </c>
      <c r="K22" s="260"/>
      <c r="L22" s="261"/>
      <c r="M22" s="261"/>
      <c r="N22" s="262"/>
      <c r="O22" s="245"/>
      <c r="P22" s="375" t="s">
        <v>160</v>
      </c>
      <c r="Q22" s="375"/>
      <c r="R22" s="375"/>
      <c r="S22" s="375" t="s">
        <v>161</v>
      </c>
      <c r="T22" s="375"/>
      <c r="U22" s="375"/>
      <c r="V22" s="299"/>
      <c r="W22" s="132"/>
      <c r="X22" s="149"/>
      <c r="Y22" s="149"/>
      <c r="Z22" s="149"/>
    </row>
    <row r="23" spans="1:26" ht="18" customHeight="1">
      <c r="A23" s="242">
        <v>21</v>
      </c>
      <c r="B23" s="272">
        <v>45</v>
      </c>
      <c r="C23" s="231"/>
      <c r="D23" s="272">
        <v>13</v>
      </c>
      <c r="E23" s="243"/>
      <c r="F23" s="233">
        <v>21</v>
      </c>
      <c r="G23" s="234">
        <v>21</v>
      </c>
      <c r="H23" s="235">
        <f t="shared" si="0"/>
      </c>
      <c r="I23" s="236"/>
      <c r="J23" s="237">
        <v>21</v>
      </c>
      <c r="K23" s="247"/>
      <c r="L23" s="247"/>
      <c r="M23" s="309"/>
      <c r="N23" s="309"/>
      <c r="O23" s="245"/>
      <c r="P23" s="250" t="s">
        <v>127</v>
      </c>
      <c r="Q23" s="259" t="s">
        <v>212</v>
      </c>
      <c r="R23" s="300" t="s">
        <v>211</v>
      </c>
      <c r="S23" s="250" t="s">
        <v>165</v>
      </c>
      <c r="T23" s="300" t="s">
        <v>162</v>
      </c>
      <c r="U23" s="300" t="s">
        <v>163</v>
      </c>
      <c r="V23" s="299"/>
      <c r="W23" s="132"/>
      <c r="X23" s="149"/>
      <c r="Y23" s="149"/>
      <c r="Z23" s="149"/>
    </row>
    <row r="24" spans="1:26" ht="18" customHeight="1">
      <c r="A24" s="242">
        <v>22</v>
      </c>
      <c r="B24" s="272">
        <v>42</v>
      </c>
      <c r="C24" s="231"/>
      <c r="D24" s="272">
        <v>13</v>
      </c>
      <c r="E24" s="243"/>
      <c r="F24" s="233">
        <v>22</v>
      </c>
      <c r="G24" s="244">
        <v>22</v>
      </c>
      <c r="H24" s="235">
        <f t="shared" si="0"/>
      </c>
      <c r="I24" s="236"/>
      <c r="J24" s="237">
        <v>22</v>
      </c>
      <c r="K24" s="225"/>
      <c r="L24" s="225"/>
      <c r="M24" s="308"/>
      <c r="N24" s="309"/>
      <c r="O24" s="251">
        <v>1</v>
      </c>
      <c r="P24" s="300">
        <f>IF(B3&lt;3,3,IF(B3&gt;15,15,B3))</f>
        <v>5</v>
      </c>
      <c r="Q24" s="263">
        <f>AVERAGE(B3:B4)</f>
        <v>5</v>
      </c>
      <c r="R24" s="263">
        <f>AVERAGE(P24)</f>
        <v>5</v>
      </c>
      <c r="S24" s="300">
        <f>IF(B3&lt;5,4,IF(B3&gt;40,39,B3))</f>
        <v>5</v>
      </c>
      <c r="T24" s="263">
        <f>IF($M$3&lt;100,S24,IF($M$3&lt;201,AVERAGE(S24:S25),"Inserir diametro Menor"))</f>
        <v>5</v>
      </c>
      <c r="U24" s="263">
        <f>S24</f>
        <v>5</v>
      </c>
      <c r="V24" s="299"/>
      <c r="W24" s="132"/>
      <c r="X24" s="149"/>
      <c r="Y24" s="149"/>
      <c r="Z24" s="149"/>
    </row>
    <row r="25" spans="1:26" ht="18" customHeight="1">
      <c r="A25" s="242">
        <v>23</v>
      </c>
      <c r="B25" s="272">
        <v>44</v>
      </c>
      <c r="C25" s="231"/>
      <c r="D25" s="272">
        <v>13</v>
      </c>
      <c r="E25" s="243"/>
      <c r="F25" s="233">
        <v>23</v>
      </c>
      <c r="G25" s="234">
        <v>23</v>
      </c>
      <c r="H25" s="235">
        <f t="shared" si="0"/>
      </c>
      <c r="I25" s="236"/>
      <c r="J25" s="237">
        <v>23</v>
      </c>
      <c r="K25" s="225"/>
      <c r="L25" s="225"/>
      <c r="M25" s="308"/>
      <c r="N25" s="309"/>
      <c r="O25" s="251">
        <v>2</v>
      </c>
      <c r="P25" s="300">
        <f aca="true" t="shared" si="1" ref="P25:P63">IF(B4&lt;3,3,IF(B4&gt;15,15,B4))</f>
        <v>5</v>
      </c>
      <c r="Q25" s="263">
        <f>AVERAGE(B3:B5)</f>
        <v>4.666666666666667</v>
      </c>
      <c r="R25" s="263">
        <f>AVERAGE($P$24:P25)</f>
        <v>5</v>
      </c>
      <c r="S25" s="300">
        <f aca="true" t="shared" si="2" ref="S25:S63">IF(B4&lt;5,4,IF(B4&gt;40,39,B4))</f>
        <v>5</v>
      </c>
      <c r="T25" s="263">
        <f>IF($M$3&lt;25,S25,IF($M$3&lt;100,AVERAGE(S24:S25),AVERAGE(S24:S26)))</f>
        <v>5</v>
      </c>
      <c r="U25" s="263">
        <f>AVERAGE($S$24:S25)</f>
        <v>5</v>
      </c>
      <c r="V25" s="299"/>
      <c r="W25" s="132"/>
      <c r="X25" s="149"/>
      <c r="Y25" s="149"/>
      <c r="Z25" s="149"/>
    </row>
    <row r="26" spans="1:26" ht="18" customHeight="1">
      <c r="A26" s="242">
        <v>24</v>
      </c>
      <c r="B26" s="272"/>
      <c r="C26" s="257"/>
      <c r="D26" s="272"/>
      <c r="E26" s="243"/>
      <c r="F26" s="233">
        <v>24</v>
      </c>
      <c r="G26" s="244">
        <v>24</v>
      </c>
      <c r="H26" s="235">
        <f t="shared" si="0"/>
      </c>
      <c r="I26" s="236"/>
      <c r="J26" s="237">
        <v>24</v>
      </c>
      <c r="K26" s="225"/>
      <c r="L26" s="225"/>
      <c r="M26" s="308"/>
      <c r="N26" s="309"/>
      <c r="O26" s="251">
        <v>3</v>
      </c>
      <c r="P26" s="300">
        <f t="shared" si="1"/>
        <v>4</v>
      </c>
      <c r="Q26" s="263">
        <f>AVERAGE(B4:B6)</f>
        <v>5</v>
      </c>
      <c r="R26" s="263">
        <f>AVERAGE($P$24:P26)</f>
        <v>4.666666666666667</v>
      </c>
      <c r="S26" s="300">
        <f t="shared" si="2"/>
        <v>4</v>
      </c>
      <c r="T26" s="263">
        <f>IF($M$3&lt;25,S26,IF($M$3&lt;50,AVERAGE(S25:S26),IF($M$3&lt;100,AVERAGE(S24:S26),IF($M$3&lt;201,AVERAGE(S24:S27),""))))</f>
        <v>4.5</v>
      </c>
      <c r="U26" s="263">
        <f>AVERAGE($S$24:S26)</f>
        <v>4.666666666666667</v>
      </c>
      <c r="V26" s="299"/>
      <c r="W26" s="132"/>
      <c r="X26" s="149"/>
      <c r="Y26" s="149"/>
      <c r="Z26" s="149"/>
    </row>
    <row r="27" spans="1:26" ht="18" customHeight="1">
      <c r="A27" s="242">
        <v>25</v>
      </c>
      <c r="B27" s="277"/>
      <c r="C27" s="257"/>
      <c r="D27" s="277"/>
      <c r="E27" s="243"/>
      <c r="F27" s="233">
        <v>25</v>
      </c>
      <c r="G27" s="234">
        <v>25</v>
      </c>
      <c r="H27" s="235">
        <f t="shared" si="0"/>
      </c>
      <c r="I27" s="236"/>
      <c r="J27" s="237">
        <v>25</v>
      </c>
      <c r="K27" s="225"/>
      <c r="L27" s="225"/>
      <c r="M27" s="308"/>
      <c r="N27" s="309"/>
      <c r="O27" s="251">
        <v>4</v>
      </c>
      <c r="P27" s="300">
        <f t="shared" si="1"/>
        <v>6</v>
      </c>
      <c r="Q27" s="263">
        <f aca="true" t="shared" si="3" ref="Q27:Q63">AVERAGE(B5:B7)</f>
        <v>6.666666666666667</v>
      </c>
      <c r="R27" s="263">
        <f>AVERAGE($P$24:P27)</f>
        <v>5</v>
      </c>
      <c r="S27" s="300">
        <f t="shared" si="2"/>
        <v>6</v>
      </c>
      <c r="T27" s="263">
        <f>IF($M$3&lt;25,S27,IF($M$3&lt;50,AVERAGE(S26:S27),IF($M$3&lt;75,AVERAGE(S25:S27),IF($M$3&lt;100,AVERAGE(S24:S27),AVERAGE(S24:S28)))))</f>
        <v>5</v>
      </c>
      <c r="U27" s="263">
        <f>AVERAGE($S$24:S27)</f>
        <v>5</v>
      </c>
      <c r="V27" s="299"/>
      <c r="W27" s="132"/>
      <c r="X27" s="149"/>
      <c r="Y27" s="149"/>
      <c r="Z27" s="149"/>
    </row>
    <row r="28" spans="1:26" ht="18" customHeight="1">
      <c r="A28" s="242">
        <v>26</v>
      </c>
      <c r="B28" s="277"/>
      <c r="C28" s="231"/>
      <c r="D28" s="277"/>
      <c r="E28" s="243"/>
      <c r="F28" s="233">
        <v>26</v>
      </c>
      <c r="G28" s="244">
        <v>26</v>
      </c>
      <c r="H28" s="235">
        <f t="shared" si="0"/>
      </c>
      <c r="I28" s="236"/>
      <c r="J28" s="237">
        <v>26</v>
      </c>
      <c r="K28" s="225"/>
      <c r="L28" s="225"/>
      <c r="M28" s="308"/>
      <c r="N28" s="309"/>
      <c r="O28" s="251">
        <v>5</v>
      </c>
      <c r="P28" s="300">
        <f t="shared" si="1"/>
        <v>10</v>
      </c>
      <c r="Q28" s="263">
        <f t="shared" si="3"/>
        <v>8.333333333333334</v>
      </c>
      <c r="R28" s="263">
        <f>AVERAGE($P$24:P28)</f>
        <v>6</v>
      </c>
      <c r="S28" s="300">
        <f t="shared" si="2"/>
        <v>10</v>
      </c>
      <c r="T28" s="263">
        <f>IF($M$3&lt;25,S28,IF($M$3&lt;50,AVERAGE(S27:S28),IF($M$3&lt;75,AVERAGE(S26:S28),IF($M$3&lt;100,AVERAGE(S25:S28),IF($M$3&lt;125,AVERAGE(S25:S29),AVERAGE(S24:S29))))))</f>
        <v>8</v>
      </c>
      <c r="U28" s="263">
        <f>AVERAGE($S$24:S28)</f>
        <v>6</v>
      </c>
      <c r="V28" s="299"/>
      <c r="W28" s="132"/>
      <c r="X28" s="149"/>
      <c r="Y28" s="149"/>
      <c r="Z28" s="149"/>
    </row>
    <row r="29" spans="1:26" ht="18" customHeight="1">
      <c r="A29" s="242">
        <v>27</v>
      </c>
      <c r="B29" s="272"/>
      <c r="C29" s="231"/>
      <c r="D29" s="272"/>
      <c r="E29" s="243"/>
      <c r="F29" s="233">
        <v>27</v>
      </c>
      <c r="G29" s="234">
        <v>27</v>
      </c>
      <c r="H29" s="235">
        <f t="shared" si="0"/>
      </c>
      <c r="I29" s="236"/>
      <c r="J29" s="237">
        <v>27</v>
      </c>
      <c r="K29" s="225"/>
      <c r="L29" s="225"/>
      <c r="M29" s="308"/>
      <c r="N29" s="309"/>
      <c r="O29" s="251">
        <v>6</v>
      </c>
      <c r="P29" s="300">
        <f t="shared" si="1"/>
        <v>9</v>
      </c>
      <c r="Q29" s="263">
        <f t="shared" si="3"/>
        <v>11</v>
      </c>
      <c r="R29" s="263">
        <f>AVERAGE($P$24:P29)</f>
        <v>6.5</v>
      </c>
      <c r="S29" s="300">
        <f t="shared" si="2"/>
        <v>9</v>
      </c>
      <c r="T29" s="263">
        <f>IF($M$3&lt;25,S29,IF($M$3&lt;50,AVERAGE(S28:S29),IF($M$3&lt;75,AVERAGE(S27:S29),IF($M$3&lt;100,AVERAGE(S26:S29),IF($M$3&lt;125,AVERAGE(S26:S30),IF($M$3&lt;150,AVERAGE(S25:S30),AVERAGE(S24:S30)))))))</f>
        <v>9.5</v>
      </c>
      <c r="U29" s="263">
        <f>AVERAGE($S$24:S29)</f>
        <v>6.5</v>
      </c>
      <c r="V29" s="299"/>
      <c r="W29" s="132"/>
      <c r="X29" s="149"/>
      <c r="Y29" s="149"/>
      <c r="Z29" s="149"/>
    </row>
    <row r="30" spans="1:26" ht="18" customHeight="1">
      <c r="A30" s="242">
        <v>28</v>
      </c>
      <c r="B30" s="272"/>
      <c r="C30" s="231"/>
      <c r="D30" s="272"/>
      <c r="E30" s="243"/>
      <c r="F30" s="233">
        <v>28</v>
      </c>
      <c r="G30" s="244">
        <v>28</v>
      </c>
      <c r="H30" s="235">
        <f t="shared" si="0"/>
      </c>
      <c r="I30" s="236"/>
      <c r="J30" s="237">
        <v>28</v>
      </c>
      <c r="K30" s="225"/>
      <c r="L30" s="225"/>
      <c r="M30" s="308"/>
      <c r="N30" s="309"/>
      <c r="O30" s="251">
        <v>7</v>
      </c>
      <c r="P30" s="300">
        <f t="shared" si="1"/>
        <v>14</v>
      </c>
      <c r="Q30" s="263">
        <f t="shared" si="3"/>
        <v>11.666666666666666</v>
      </c>
      <c r="R30" s="263">
        <f>AVERAGE($P$24:P30)</f>
        <v>7.571428571428571</v>
      </c>
      <c r="S30" s="300">
        <f t="shared" si="2"/>
        <v>14</v>
      </c>
      <c r="T30" s="263">
        <f>IF($M$3&lt;25,S30,IF($M$3&lt;50,AVERAGE(S29:S30),IF($M$3&lt;75,AVERAGE(S28:S30),IF($M$3&lt;100,AVERAGE(S27:S30),IF($M$3&lt;125,AVERAGE(S27:S31),IF($M$3&lt;150,AVERAGE(S26:S31),IF($M$3&lt;175,AVERAGE(S25:S31),AVERAGE(S24:S31))))))))</f>
        <v>11.5</v>
      </c>
      <c r="U30" s="263">
        <f>AVERAGE($S$24:S30)</f>
        <v>7.571428571428571</v>
      </c>
      <c r="V30" s="299"/>
      <c r="W30" s="132"/>
      <c r="X30" s="149"/>
      <c r="Y30" s="149"/>
      <c r="Z30" s="149"/>
    </row>
    <row r="31" spans="1:26" ht="18" customHeight="1">
      <c r="A31" s="242">
        <v>29</v>
      </c>
      <c r="B31" s="272"/>
      <c r="C31" s="231"/>
      <c r="D31" s="272"/>
      <c r="E31" s="243"/>
      <c r="F31" s="233">
        <v>29</v>
      </c>
      <c r="G31" s="234">
        <v>29</v>
      </c>
      <c r="H31" s="235">
        <f t="shared" si="0"/>
      </c>
      <c r="I31" s="236"/>
      <c r="J31" s="237">
        <v>29</v>
      </c>
      <c r="K31" s="225"/>
      <c r="L31" s="225"/>
      <c r="M31" s="308"/>
      <c r="N31" s="309"/>
      <c r="O31" s="251">
        <v>8</v>
      </c>
      <c r="P31" s="300">
        <f t="shared" si="1"/>
        <v>12</v>
      </c>
      <c r="Q31" s="263">
        <f t="shared" si="3"/>
        <v>13.666666666666666</v>
      </c>
      <c r="R31" s="263">
        <f>AVERAGE($P$24:P31)</f>
        <v>8.125</v>
      </c>
      <c r="S31" s="300">
        <f t="shared" si="2"/>
        <v>12</v>
      </c>
      <c r="T31" s="263">
        <f>IF($M$3&lt;25,S31,IF($M$3&lt;50,AVERAGE(S30:S31),IF($M$3&lt;75,AVERAGE(S29:S31),IF($M$3&lt;100,AVERAGE(S28:S31),IF($M$3&lt;125,AVERAGE(S28:S32),IF($M$3&lt;150,AVERAGE(S27:S32),IF($M$3&lt;175,AVERAGE(S26:S32),AVERAGE(S25:S32))))))))</f>
        <v>13</v>
      </c>
      <c r="U31" s="263">
        <f>AVERAGE($S$24:S31)</f>
        <v>8.125</v>
      </c>
      <c r="V31" s="299"/>
      <c r="W31" s="132"/>
      <c r="X31" s="149"/>
      <c r="Y31" s="149"/>
      <c r="Z31" s="149"/>
    </row>
    <row r="32" spans="1:26" ht="18" customHeight="1">
      <c r="A32" s="242">
        <v>30</v>
      </c>
      <c r="B32" s="272"/>
      <c r="C32" s="231"/>
      <c r="D32" s="272"/>
      <c r="E32" s="243"/>
      <c r="F32" s="233">
        <v>30</v>
      </c>
      <c r="G32" s="244">
        <v>30</v>
      </c>
      <c r="H32" s="235">
        <f t="shared" si="0"/>
      </c>
      <c r="I32" s="236"/>
      <c r="J32" s="237">
        <v>30</v>
      </c>
      <c r="K32" s="225"/>
      <c r="L32" s="225"/>
      <c r="M32" s="308"/>
      <c r="N32" s="309"/>
      <c r="O32" s="251">
        <v>9</v>
      </c>
      <c r="P32" s="300">
        <f t="shared" si="1"/>
        <v>15</v>
      </c>
      <c r="Q32" s="263">
        <f t="shared" si="3"/>
        <v>13</v>
      </c>
      <c r="R32" s="263">
        <f>AVERAGE($P$24:P32)</f>
        <v>8.88888888888889</v>
      </c>
      <c r="S32" s="300">
        <f t="shared" si="2"/>
        <v>15</v>
      </c>
      <c r="T32" s="263">
        <f aca="true" t="shared" si="4" ref="T32:T62">IF($M$3&lt;25,S32,IF($M$3&lt;50,AVERAGE(S31:S32),IF($M$3&lt;75,AVERAGE(S30:S32),IF($M$3&lt;100,AVERAGE(S29:S32),IF($M$3&lt;125,AVERAGE(S29:S33),IF($M$3&lt;150,AVERAGE(S28:S33),IF($M$3&lt;175,AVERAGE(S27:S33),AVERAGE(S26:S33))))))))</f>
        <v>13.5</v>
      </c>
      <c r="U32" s="263">
        <f>AVERAGE($S$24:S32)</f>
        <v>8.88888888888889</v>
      </c>
      <c r="V32" s="299"/>
      <c r="W32" s="132"/>
      <c r="X32" s="149"/>
      <c r="Y32" s="149"/>
      <c r="Z32" s="149"/>
    </row>
    <row r="33" spans="1:26" ht="18" customHeight="1">
      <c r="A33" s="242">
        <v>31</v>
      </c>
      <c r="B33" s="272"/>
      <c r="C33" s="231"/>
      <c r="D33" s="272"/>
      <c r="E33" s="243"/>
      <c r="F33" s="233">
        <v>31</v>
      </c>
      <c r="G33" s="234">
        <v>31</v>
      </c>
      <c r="H33" s="235">
        <f t="shared" si="0"/>
      </c>
      <c r="I33" s="236"/>
      <c r="J33" s="237">
        <v>31</v>
      </c>
      <c r="K33" s="225"/>
      <c r="L33" s="225"/>
      <c r="M33" s="308"/>
      <c r="N33" s="309"/>
      <c r="O33" s="251">
        <v>10</v>
      </c>
      <c r="P33" s="300">
        <f t="shared" si="1"/>
        <v>12</v>
      </c>
      <c r="Q33" s="263">
        <f t="shared" si="3"/>
        <v>15</v>
      </c>
      <c r="R33" s="263">
        <f>AVERAGE($P$24:P33)</f>
        <v>9.2</v>
      </c>
      <c r="S33" s="300">
        <f t="shared" si="2"/>
        <v>12</v>
      </c>
      <c r="T33" s="263">
        <f t="shared" si="4"/>
        <v>13.5</v>
      </c>
      <c r="U33" s="263">
        <f>AVERAGE($S$24:S33)</f>
        <v>9.2</v>
      </c>
      <c r="V33" s="299"/>
      <c r="W33" s="132"/>
      <c r="X33" s="149"/>
      <c r="Y33" s="149"/>
      <c r="Z33" s="149"/>
    </row>
    <row r="34" spans="1:26" ht="18" customHeight="1">
      <c r="A34" s="242">
        <v>32</v>
      </c>
      <c r="B34" s="272"/>
      <c r="C34" s="257"/>
      <c r="D34" s="272"/>
      <c r="E34" s="243"/>
      <c r="F34" s="233">
        <v>32</v>
      </c>
      <c r="G34" s="244">
        <v>32</v>
      </c>
      <c r="H34" s="235">
        <f t="shared" si="0"/>
      </c>
      <c r="I34" s="236"/>
      <c r="J34" s="237">
        <v>32</v>
      </c>
      <c r="K34" s="247"/>
      <c r="L34" s="247"/>
      <c r="M34" s="309"/>
      <c r="N34" s="309"/>
      <c r="O34" s="251">
        <v>11</v>
      </c>
      <c r="P34" s="300">
        <f t="shared" si="1"/>
        <v>15</v>
      </c>
      <c r="Q34" s="263">
        <f>AVERAGE(B12:B14)</f>
        <v>16.666666666666668</v>
      </c>
      <c r="R34" s="263">
        <f>AVERAGE($P$24:P34)</f>
        <v>9.727272727272727</v>
      </c>
      <c r="S34" s="300">
        <f t="shared" si="2"/>
        <v>18</v>
      </c>
      <c r="T34" s="263">
        <f t="shared" si="4"/>
        <v>15</v>
      </c>
      <c r="U34" s="263">
        <f>AVERAGE($S$24:S34)</f>
        <v>10</v>
      </c>
      <c r="V34" s="299"/>
      <c r="W34" s="132"/>
      <c r="X34" s="149"/>
      <c r="Y34" s="149"/>
      <c r="Z34" s="149"/>
    </row>
    <row r="35" spans="1:26" ht="18" customHeight="1">
      <c r="A35" s="242">
        <v>33</v>
      </c>
      <c r="B35" s="272"/>
      <c r="C35" s="257"/>
      <c r="D35" s="272"/>
      <c r="E35" s="243"/>
      <c r="F35" s="233">
        <v>33</v>
      </c>
      <c r="G35" s="234">
        <v>33</v>
      </c>
      <c r="H35" s="235">
        <f t="shared" si="0"/>
      </c>
      <c r="I35" s="236"/>
      <c r="J35" s="237">
        <v>33</v>
      </c>
      <c r="K35" s="247"/>
      <c r="L35" s="247"/>
      <c r="M35" s="309"/>
      <c r="N35" s="309"/>
      <c r="O35" s="251">
        <v>12</v>
      </c>
      <c r="P35" s="300">
        <f t="shared" si="1"/>
        <v>15</v>
      </c>
      <c r="Q35" s="263">
        <f t="shared" si="3"/>
        <v>21.333333333333332</v>
      </c>
      <c r="R35" s="263">
        <f>AVERAGE($P$24:P35)</f>
        <v>10.166666666666666</v>
      </c>
      <c r="S35" s="300">
        <f t="shared" si="2"/>
        <v>20</v>
      </c>
      <c r="T35" s="263">
        <f t="shared" si="4"/>
        <v>19</v>
      </c>
      <c r="U35" s="263">
        <f>AVERAGE($S$24:S35)</f>
        <v>10.833333333333334</v>
      </c>
      <c r="V35" s="299"/>
      <c r="W35" s="132"/>
      <c r="X35" s="149"/>
      <c r="Y35" s="149"/>
      <c r="Z35" s="149"/>
    </row>
    <row r="36" spans="1:26" ht="18" customHeight="1">
      <c r="A36" s="242">
        <v>34</v>
      </c>
      <c r="B36" s="277"/>
      <c r="C36" s="231"/>
      <c r="D36" s="277"/>
      <c r="E36" s="243"/>
      <c r="F36" s="233">
        <v>34</v>
      </c>
      <c r="G36" s="244">
        <v>34</v>
      </c>
      <c r="H36" s="235">
        <f t="shared" si="0"/>
      </c>
      <c r="I36" s="236"/>
      <c r="J36" s="237">
        <v>34</v>
      </c>
      <c r="K36" s="247"/>
      <c r="L36" s="247"/>
      <c r="M36" s="309"/>
      <c r="N36" s="309"/>
      <c r="O36" s="251">
        <v>13</v>
      </c>
      <c r="P36" s="300">
        <f t="shared" si="1"/>
        <v>15</v>
      </c>
      <c r="Q36" s="263">
        <f t="shared" si="3"/>
        <v>26.333333333333332</v>
      </c>
      <c r="R36" s="263">
        <f>AVERAGE($P$24:P36)</f>
        <v>10.538461538461538</v>
      </c>
      <c r="S36" s="300">
        <f t="shared" si="2"/>
        <v>26</v>
      </c>
      <c r="T36" s="263">
        <f t="shared" si="4"/>
        <v>23</v>
      </c>
      <c r="U36" s="263">
        <f>AVERAGE($S$24:S36)</f>
        <v>12</v>
      </c>
      <c r="V36" s="299"/>
      <c r="W36" s="132"/>
      <c r="X36" s="149"/>
      <c r="Y36" s="149"/>
      <c r="Z36" s="149"/>
    </row>
    <row r="37" spans="1:26" ht="18" customHeight="1">
      <c r="A37" s="242">
        <v>35</v>
      </c>
      <c r="B37" s="272"/>
      <c r="C37" s="231"/>
      <c r="D37" s="272"/>
      <c r="E37" s="243"/>
      <c r="F37" s="233">
        <v>35</v>
      </c>
      <c r="G37" s="234">
        <v>35</v>
      </c>
      <c r="H37" s="235">
        <f t="shared" si="0"/>
      </c>
      <c r="I37" s="236"/>
      <c r="J37" s="237">
        <v>35</v>
      </c>
      <c r="K37" s="247"/>
      <c r="L37" s="247"/>
      <c r="M37" s="309"/>
      <c r="N37" s="309"/>
      <c r="O37" s="251">
        <v>14</v>
      </c>
      <c r="P37" s="300">
        <f t="shared" si="1"/>
        <v>15</v>
      </c>
      <c r="Q37" s="263">
        <f t="shared" si="3"/>
        <v>34.666666666666664</v>
      </c>
      <c r="R37" s="263">
        <f>AVERAGE($P$24:P37)</f>
        <v>10.857142857142858</v>
      </c>
      <c r="S37" s="300">
        <f t="shared" si="2"/>
        <v>33</v>
      </c>
      <c r="T37" s="263">
        <f t="shared" si="4"/>
        <v>29.5</v>
      </c>
      <c r="U37" s="263">
        <f>AVERAGE($S$24:S37)</f>
        <v>13.5</v>
      </c>
      <c r="V37" s="299"/>
      <c r="W37" s="132"/>
      <c r="X37" s="149"/>
      <c r="Y37" s="149"/>
      <c r="Z37" s="149"/>
    </row>
    <row r="38" spans="1:26" ht="18" customHeight="1">
      <c r="A38" s="242">
        <v>36</v>
      </c>
      <c r="B38" s="272"/>
      <c r="C38" s="231"/>
      <c r="D38" s="272"/>
      <c r="E38" s="243"/>
      <c r="F38" s="233">
        <v>36</v>
      </c>
      <c r="G38" s="244">
        <v>36</v>
      </c>
      <c r="H38" s="235">
        <f t="shared" si="0"/>
      </c>
      <c r="I38" s="236"/>
      <c r="J38" s="237">
        <v>36</v>
      </c>
      <c r="K38" s="247"/>
      <c r="L38" s="247"/>
      <c r="M38" s="309"/>
      <c r="N38" s="309"/>
      <c r="O38" s="251">
        <v>15</v>
      </c>
      <c r="P38" s="300">
        <f t="shared" si="1"/>
        <v>15</v>
      </c>
      <c r="Q38" s="263">
        <f t="shared" si="3"/>
        <v>28</v>
      </c>
      <c r="R38" s="263">
        <f>AVERAGE($P$24:P38)</f>
        <v>11.133333333333333</v>
      </c>
      <c r="S38" s="300">
        <f t="shared" si="2"/>
        <v>39</v>
      </c>
      <c r="T38" s="263">
        <f t="shared" si="4"/>
        <v>36</v>
      </c>
      <c r="U38" s="263">
        <f>AVERAGE($S$24:S38)</f>
        <v>15.2</v>
      </c>
      <c r="V38" s="299"/>
      <c r="W38" s="132"/>
      <c r="X38" s="149"/>
      <c r="Y38" s="149"/>
      <c r="Z38" s="149"/>
    </row>
    <row r="39" spans="1:26" ht="18" customHeight="1">
      <c r="A39" s="242">
        <v>37</v>
      </c>
      <c r="B39" s="272"/>
      <c r="C39" s="231"/>
      <c r="D39" s="272"/>
      <c r="E39" s="243"/>
      <c r="F39" s="233">
        <v>37</v>
      </c>
      <c r="G39" s="234">
        <v>37</v>
      </c>
      <c r="H39" s="235">
        <f t="shared" si="0"/>
      </c>
      <c r="I39" s="236"/>
      <c r="J39" s="237">
        <v>37</v>
      </c>
      <c r="K39" s="247"/>
      <c r="L39" s="247"/>
      <c r="M39" s="309"/>
      <c r="N39" s="309"/>
      <c r="O39" s="251">
        <v>16</v>
      </c>
      <c r="P39" s="300">
        <f t="shared" si="1"/>
        <v>6</v>
      </c>
      <c r="Q39" s="263">
        <f t="shared" si="3"/>
        <v>21</v>
      </c>
      <c r="R39" s="263">
        <f>AVERAGE($P$24:P39)</f>
        <v>10.8125</v>
      </c>
      <c r="S39" s="300">
        <f t="shared" si="2"/>
        <v>6</v>
      </c>
      <c r="T39" s="263">
        <f t="shared" si="4"/>
        <v>22.5</v>
      </c>
      <c r="U39" s="263">
        <f>AVERAGE($S$24:S39)</f>
        <v>14.625</v>
      </c>
      <c r="V39" s="299"/>
      <c r="W39" s="132"/>
      <c r="X39" s="149"/>
      <c r="Y39" s="149"/>
      <c r="Z39" s="149"/>
    </row>
    <row r="40" spans="1:26" ht="18" customHeight="1">
      <c r="A40" s="242">
        <v>38</v>
      </c>
      <c r="B40" s="272"/>
      <c r="C40" s="231"/>
      <c r="D40" s="272"/>
      <c r="E40" s="243"/>
      <c r="F40" s="233">
        <v>38</v>
      </c>
      <c r="G40" s="244">
        <v>38</v>
      </c>
      <c r="H40" s="235">
        <f t="shared" si="0"/>
      </c>
      <c r="I40" s="236"/>
      <c r="J40" s="237">
        <v>38</v>
      </c>
      <c r="K40" s="247"/>
      <c r="L40" s="247"/>
      <c r="M40" s="309"/>
      <c r="N40" s="309"/>
      <c r="O40" s="251">
        <v>17</v>
      </c>
      <c r="P40" s="300">
        <f t="shared" si="1"/>
        <v>12</v>
      </c>
      <c r="Q40" s="263">
        <f t="shared" si="3"/>
        <v>13.666666666666666</v>
      </c>
      <c r="R40" s="263">
        <f>AVERAGE($P$24:P40)</f>
        <v>10.882352941176471</v>
      </c>
      <c r="S40" s="300">
        <f t="shared" si="2"/>
        <v>12</v>
      </c>
      <c r="T40" s="263">
        <f t="shared" si="4"/>
        <v>9</v>
      </c>
      <c r="U40" s="263">
        <f>AVERAGE($S$24:S40)</f>
        <v>14.470588235294118</v>
      </c>
      <c r="V40" s="299"/>
      <c r="W40" s="132"/>
      <c r="X40" s="149"/>
      <c r="Y40" s="149"/>
      <c r="Z40" s="149"/>
    </row>
    <row r="41" spans="1:26" ht="18" customHeight="1">
      <c r="A41" s="242">
        <v>39</v>
      </c>
      <c r="B41" s="272"/>
      <c r="C41" s="231"/>
      <c r="D41" s="272"/>
      <c r="E41" s="243"/>
      <c r="F41" s="233">
        <v>39</v>
      </c>
      <c r="G41" s="234">
        <v>39</v>
      </c>
      <c r="H41" s="235">
        <f t="shared" si="0"/>
      </c>
      <c r="I41" s="236"/>
      <c r="J41" s="237">
        <v>39</v>
      </c>
      <c r="K41" s="247"/>
      <c r="L41" s="247"/>
      <c r="M41" s="309"/>
      <c r="N41" s="309"/>
      <c r="O41" s="251">
        <v>18</v>
      </c>
      <c r="P41" s="300">
        <f t="shared" si="1"/>
        <v>15</v>
      </c>
      <c r="Q41" s="263">
        <f t="shared" si="3"/>
        <v>19.333333333333332</v>
      </c>
      <c r="R41" s="263">
        <f>AVERAGE($P$24:P41)</f>
        <v>11.11111111111111</v>
      </c>
      <c r="S41" s="300">
        <f t="shared" si="2"/>
        <v>23</v>
      </c>
      <c r="T41" s="263">
        <f t="shared" si="4"/>
        <v>17.5</v>
      </c>
      <c r="U41" s="263">
        <f>AVERAGE($S$24:S41)</f>
        <v>14.944444444444445</v>
      </c>
      <c r="V41" s="299"/>
      <c r="W41" s="132"/>
      <c r="X41" s="149"/>
      <c r="Y41" s="149"/>
      <c r="Z41" s="149"/>
    </row>
    <row r="42" spans="1:26" ht="18" customHeight="1" thickBot="1">
      <c r="A42" s="264">
        <v>40</v>
      </c>
      <c r="B42" s="278"/>
      <c r="C42" s="261"/>
      <c r="D42" s="278"/>
      <c r="E42" s="265"/>
      <c r="F42" s="266">
        <v>40</v>
      </c>
      <c r="G42" s="267">
        <v>40</v>
      </c>
      <c r="H42" s="268">
        <f t="shared" si="0"/>
      </c>
      <c r="I42" s="269"/>
      <c r="J42" s="237">
        <v>40</v>
      </c>
      <c r="K42" s="247"/>
      <c r="L42" s="247"/>
      <c r="M42" s="309"/>
      <c r="N42" s="309"/>
      <c r="O42" s="251">
        <v>19</v>
      </c>
      <c r="P42" s="300">
        <f t="shared" si="1"/>
        <v>15</v>
      </c>
      <c r="Q42" s="263">
        <f t="shared" si="3"/>
        <v>29</v>
      </c>
      <c r="R42" s="263">
        <f>AVERAGE($P$24:P42)</f>
        <v>11.31578947368421</v>
      </c>
      <c r="S42" s="300">
        <f t="shared" si="2"/>
        <v>23</v>
      </c>
      <c r="T42" s="263">
        <f t="shared" si="4"/>
        <v>23</v>
      </c>
      <c r="U42" s="263">
        <f>AVERAGE($S$24:S42)</f>
        <v>15.368421052631579</v>
      </c>
      <c r="V42" s="299"/>
      <c r="W42" s="132"/>
      <c r="X42" s="149"/>
      <c r="Y42" s="149"/>
      <c r="Z42" s="149"/>
    </row>
    <row r="43" spans="1:26" ht="15">
      <c r="A43" s="247"/>
      <c r="B43" s="270"/>
      <c r="C43" s="225"/>
      <c r="D43" s="225"/>
      <c r="E43" s="225"/>
      <c r="F43" s="259"/>
      <c r="G43" s="259"/>
      <c r="H43" s="259"/>
      <c r="I43" s="259"/>
      <c r="J43" s="237" t="s">
        <v>191</v>
      </c>
      <c r="K43" s="247"/>
      <c r="L43" s="247"/>
      <c r="M43" s="309"/>
      <c r="N43" s="309"/>
      <c r="O43" s="251">
        <v>20</v>
      </c>
      <c r="P43" s="300">
        <f t="shared" si="1"/>
        <v>15</v>
      </c>
      <c r="Q43" s="263">
        <f t="shared" si="3"/>
        <v>36.333333333333336</v>
      </c>
      <c r="R43" s="263">
        <f>AVERAGE($P$24:P43)</f>
        <v>11.5</v>
      </c>
      <c r="S43" s="300">
        <f t="shared" si="2"/>
        <v>39</v>
      </c>
      <c r="T43" s="263">
        <f t="shared" si="4"/>
        <v>31</v>
      </c>
      <c r="U43" s="263">
        <f>AVERAGE($S$24:S43)</f>
        <v>16.55</v>
      </c>
      <c r="V43" s="299"/>
      <c r="W43" s="132"/>
      <c r="X43" s="149"/>
      <c r="Y43" s="150"/>
      <c r="Z43" s="150"/>
    </row>
    <row r="44" spans="1:26" ht="19.5" customHeight="1">
      <c r="A44" s="247"/>
      <c r="B44" s="270"/>
      <c r="C44" s="247"/>
      <c r="D44" s="247"/>
      <c r="E44" s="247"/>
      <c r="F44" s="271"/>
      <c r="G44" s="271"/>
      <c r="H44" s="271"/>
      <c r="I44" s="271"/>
      <c r="J44" s="225"/>
      <c r="K44" s="247"/>
      <c r="L44" s="247"/>
      <c r="M44" s="309"/>
      <c r="N44" s="309"/>
      <c r="O44" s="251">
        <v>21</v>
      </c>
      <c r="P44" s="300">
        <f t="shared" si="1"/>
        <v>15</v>
      </c>
      <c r="Q44" s="263">
        <f t="shared" si="3"/>
        <v>42.666666666666664</v>
      </c>
      <c r="R44" s="263">
        <f>AVERAGE($P$24:P44)</f>
        <v>11.666666666666666</v>
      </c>
      <c r="S44" s="300">
        <f t="shared" si="2"/>
        <v>39</v>
      </c>
      <c r="T44" s="263">
        <f t="shared" si="4"/>
        <v>39</v>
      </c>
      <c r="U44" s="263">
        <f>AVERAGE($S$24:S44)</f>
        <v>17.61904761904762</v>
      </c>
      <c r="V44" s="299"/>
      <c r="W44" s="132"/>
      <c r="X44" s="149"/>
      <c r="Y44" s="149"/>
      <c r="Z44" s="149"/>
    </row>
    <row r="45" spans="1:26" ht="15">
      <c r="A45" s="247"/>
      <c r="B45" s="270"/>
      <c r="C45" s="247"/>
      <c r="D45" s="247"/>
      <c r="E45" s="247"/>
      <c r="F45" s="271"/>
      <c r="G45" s="271"/>
      <c r="H45" s="271"/>
      <c r="I45" s="271"/>
      <c r="J45" s="225"/>
      <c r="K45" s="247"/>
      <c r="L45" s="247"/>
      <c r="M45" s="309"/>
      <c r="N45" s="309"/>
      <c r="O45" s="251">
        <v>22</v>
      </c>
      <c r="P45" s="300">
        <f t="shared" si="1"/>
        <v>15</v>
      </c>
      <c r="Q45" s="263">
        <f t="shared" si="3"/>
        <v>43.666666666666664</v>
      </c>
      <c r="R45" s="263">
        <f>AVERAGE($P$24:P45)</f>
        <v>11.818181818181818</v>
      </c>
      <c r="S45" s="300">
        <f t="shared" si="2"/>
        <v>39</v>
      </c>
      <c r="T45" s="263">
        <f t="shared" si="4"/>
        <v>39</v>
      </c>
      <c r="U45" s="263">
        <f>AVERAGE($S$24:S45)</f>
        <v>18.59090909090909</v>
      </c>
      <c r="V45" s="299"/>
      <c r="W45" s="132"/>
      <c r="X45" s="149"/>
      <c r="Y45" s="149"/>
      <c r="Z45" s="149"/>
    </row>
    <row r="46" spans="1:26" ht="15">
      <c r="A46" s="247"/>
      <c r="B46" s="270"/>
      <c r="C46" s="247"/>
      <c r="D46" s="247"/>
      <c r="E46" s="247"/>
      <c r="F46" s="271"/>
      <c r="G46" s="271"/>
      <c r="H46" s="271"/>
      <c r="I46" s="271"/>
      <c r="J46" s="225"/>
      <c r="K46" s="247"/>
      <c r="L46" s="247"/>
      <c r="M46" s="309"/>
      <c r="N46" s="309"/>
      <c r="O46" s="251">
        <v>23</v>
      </c>
      <c r="P46" s="300">
        <f t="shared" si="1"/>
        <v>15</v>
      </c>
      <c r="Q46" s="263">
        <f t="shared" si="3"/>
        <v>43</v>
      </c>
      <c r="R46" s="263">
        <f>AVERAGE($P$24:P46)</f>
        <v>11.956521739130435</v>
      </c>
      <c r="S46" s="300">
        <f t="shared" si="2"/>
        <v>39</v>
      </c>
      <c r="T46" s="263">
        <f t="shared" si="4"/>
        <v>39</v>
      </c>
      <c r="U46" s="263">
        <f>AVERAGE($S$24:S46)</f>
        <v>19.47826086956522</v>
      </c>
      <c r="V46" s="299"/>
      <c r="W46" s="132"/>
      <c r="X46" s="149"/>
      <c r="Y46" s="149"/>
      <c r="Z46" s="149"/>
    </row>
    <row r="47" spans="1:26" ht="15">
      <c r="A47" s="247"/>
      <c r="B47" s="270"/>
      <c r="C47" s="247"/>
      <c r="D47" s="247"/>
      <c r="E47" s="247"/>
      <c r="F47" s="271"/>
      <c r="G47" s="271"/>
      <c r="H47" s="271"/>
      <c r="I47" s="271"/>
      <c r="J47" s="225"/>
      <c r="K47" s="247"/>
      <c r="L47" s="247"/>
      <c r="M47" s="309"/>
      <c r="N47" s="309"/>
      <c r="O47" s="251">
        <v>24</v>
      </c>
      <c r="P47" s="300">
        <f t="shared" si="1"/>
        <v>3</v>
      </c>
      <c r="Q47" s="263">
        <f t="shared" si="3"/>
        <v>44</v>
      </c>
      <c r="R47" s="263">
        <f>AVERAGE($P$24:P47)</f>
        <v>11.583333333333334</v>
      </c>
      <c r="S47" s="300">
        <f t="shared" si="2"/>
        <v>4</v>
      </c>
      <c r="T47" s="263">
        <f t="shared" si="4"/>
        <v>21.5</v>
      </c>
      <c r="U47" s="263">
        <f>AVERAGE($S$24:S47)</f>
        <v>18.833333333333332</v>
      </c>
      <c r="V47" s="299"/>
      <c r="W47" s="132"/>
      <c r="X47" s="149"/>
      <c r="Y47" s="149"/>
      <c r="Z47" s="149"/>
    </row>
    <row r="48" spans="1:26" ht="15">
      <c r="A48" s="247"/>
      <c r="B48" s="270"/>
      <c r="C48" s="247"/>
      <c r="D48" s="247"/>
      <c r="E48" s="247"/>
      <c r="F48" s="271"/>
      <c r="G48" s="271"/>
      <c r="H48" s="271"/>
      <c r="I48" s="271"/>
      <c r="J48" s="225"/>
      <c r="K48" s="247"/>
      <c r="L48" s="247"/>
      <c r="M48" s="309"/>
      <c r="N48" s="309"/>
      <c r="O48" s="251">
        <v>25</v>
      </c>
      <c r="P48" s="300">
        <f t="shared" si="1"/>
        <v>3</v>
      </c>
      <c r="Q48" s="263" t="e">
        <f t="shared" si="3"/>
        <v>#DIV/0!</v>
      </c>
      <c r="R48" s="263">
        <f>AVERAGE($P$24:P48)</f>
        <v>11.24</v>
      </c>
      <c r="S48" s="300">
        <f t="shared" si="2"/>
        <v>4</v>
      </c>
      <c r="T48" s="263">
        <f t="shared" si="4"/>
        <v>4</v>
      </c>
      <c r="U48" s="263">
        <f>AVERAGE($S$24:S48)</f>
        <v>18.24</v>
      </c>
      <c r="V48" s="299"/>
      <c r="W48" s="132"/>
      <c r="X48" s="149"/>
      <c r="Y48" s="149"/>
      <c r="Z48" s="149"/>
    </row>
    <row r="49" spans="1:26" ht="15">
      <c r="A49" s="247"/>
      <c r="B49" s="270"/>
      <c r="C49" s="247"/>
      <c r="D49" s="247"/>
      <c r="E49" s="247"/>
      <c r="F49" s="271"/>
      <c r="G49" s="271"/>
      <c r="H49" s="271"/>
      <c r="I49" s="271"/>
      <c r="J49" s="225"/>
      <c r="K49" s="247"/>
      <c r="L49" s="225"/>
      <c r="M49" s="308"/>
      <c r="N49" s="309"/>
      <c r="O49" s="251">
        <v>26</v>
      </c>
      <c r="P49" s="300">
        <f t="shared" si="1"/>
        <v>3</v>
      </c>
      <c r="Q49" s="263" t="e">
        <f t="shared" si="3"/>
        <v>#DIV/0!</v>
      </c>
      <c r="R49" s="263">
        <f>AVERAGE($P$24:P49)</f>
        <v>10.923076923076923</v>
      </c>
      <c r="S49" s="300">
        <f t="shared" si="2"/>
        <v>4</v>
      </c>
      <c r="T49" s="263">
        <f t="shared" si="4"/>
        <v>4</v>
      </c>
      <c r="U49" s="263">
        <f>AVERAGE($S$24:S49)</f>
        <v>17.692307692307693</v>
      </c>
      <c r="V49" s="299"/>
      <c r="W49" s="132"/>
      <c r="X49" s="149"/>
      <c r="Y49" s="149"/>
      <c r="Z49" s="149"/>
    </row>
    <row r="50" spans="1:26" ht="15">
      <c r="A50" s="247"/>
      <c r="B50" s="270"/>
      <c r="C50" s="247"/>
      <c r="D50" s="247"/>
      <c r="E50" s="247"/>
      <c r="F50" s="271"/>
      <c r="G50" s="271"/>
      <c r="H50" s="271"/>
      <c r="I50" s="271"/>
      <c r="J50" s="225"/>
      <c r="K50" s="247"/>
      <c r="L50" s="225"/>
      <c r="M50" s="308"/>
      <c r="N50" s="309"/>
      <c r="O50" s="251">
        <v>27</v>
      </c>
      <c r="P50" s="300">
        <f t="shared" si="1"/>
        <v>3</v>
      </c>
      <c r="Q50" s="263" t="e">
        <f t="shared" si="3"/>
        <v>#DIV/0!</v>
      </c>
      <c r="R50" s="263">
        <f>AVERAGE($P$24:P50)</f>
        <v>10.62962962962963</v>
      </c>
      <c r="S50" s="300">
        <f t="shared" si="2"/>
        <v>4</v>
      </c>
      <c r="T50" s="263">
        <f t="shared" si="4"/>
        <v>4</v>
      </c>
      <c r="U50" s="263">
        <f>AVERAGE($S$24:S50)</f>
        <v>17.185185185185187</v>
      </c>
      <c r="V50" s="299"/>
      <c r="W50" s="132"/>
      <c r="X50" s="149"/>
      <c r="Y50" s="149"/>
      <c r="Z50" s="149"/>
    </row>
    <row r="51" spans="1:26" ht="15">
      <c r="A51" s="247"/>
      <c r="B51" s="270"/>
      <c r="C51" s="247"/>
      <c r="D51" s="247"/>
      <c r="E51" s="247"/>
      <c r="F51" s="271"/>
      <c r="G51" s="271"/>
      <c r="H51" s="271"/>
      <c r="I51" s="271"/>
      <c r="J51" s="225"/>
      <c r="K51" s="247"/>
      <c r="L51" s="225"/>
      <c r="M51" s="308"/>
      <c r="N51" s="309"/>
      <c r="O51" s="251">
        <v>28</v>
      </c>
      <c r="P51" s="300">
        <f t="shared" si="1"/>
        <v>3</v>
      </c>
      <c r="Q51" s="263" t="e">
        <f t="shared" si="3"/>
        <v>#DIV/0!</v>
      </c>
      <c r="R51" s="263">
        <f>AVERAGE($P$24:P51)</f>
        <v>10.357142857142858</v>
      </c>
      <c r="S51" s="300">
        <f t="shared" si="2"/>
        <v>4</v>
      </c>
      <c r="T51" s="263">
        <f t="shared" si="4"/>
        <v>4</v>
      </c>
      <c r="U51" s="263">
        <f>AVERAGE($S$24:S51)</f>
        <v>16.714285714285715</v>
      </c>
      <c r="V51" s="299"/>
      <c r="W51" s="132"/>
      <c r="X51" s="149"/>
      <c r="Y51" s="149"/>
      <c r="Z51" s="149"/>
    </row>
    <row r="52" spans="1:26" ht="15">
      <c r="A52" s="247"/>
      <c r="B52" s="270"/>
      <c r="C52" s="247"/>
      <c r="D52" s="247"/>
      <c r="E52" s="247"/>
      <c r="F52" s="271"/>
      <c r="G52" s="271"/>
      <c r="H52" s="271"/>
      <c r="I52" s="271"/>
      <c r="J52" s="225"/>
      <c r="K52" s="247"/>
      <c r="L52" s="225"/>
      <c r="M52" s="308"/>
      <c r="N52" s="309"/>
      <c r="O52" s="251">
        <v>29</v>
      </c>
      <c r="P52" s="300">
        <f t="shared" si="1"/>
        <v>3</v>
      </c>
      <c r="Q52" s="263" t="e">
        <f t="shared" si="3"/>
        <v>#DIV/0!</v>
      </c>
      <c r="R52" s="263">
        <f>AVERAGE($P$24:P52)</f>
        <v>10.10344827586207</v>
      </c>
      <c r="S52" s="300">
        <f t="shared" si="2"/>
        <v>4</v>
      </c>
      <c r="T52" s="263">
        <f t="shared" si="4"/>
        <v>4</v>
      </c>
      <c r="U52" s="263">
        <f>AVERAGE($S$24:S52)</f>
        <v>16.275862068965516</v>
      </c>
      <c r="V52" s="299"/>
      <c r="W52" s="132"/>
      <c r="X52" s="149"/>
      <c r="Y52" s="149"/>
      <c r="Z52" s="149"/>
    </row>
    <row r="53" spans="1:26" ht="15">
      <c r="A53" s="247"/>
      <c r="B53" s="270"/>
      <c r="C53" s="247"/>
      <c r="D53" s="247"/>
      <c r="E53" s="247"/>
      <c r="F53" s="271"/>
      <c r="G53" s="271"/>
      <c r="H53" s="271"/>
      <c r="I53" s="271"/>
      <c r="J53" s="225"/>
      <c r="K53" s="247"/>
      <c r="L53" s="225"/>
      <c r="M53" s="308"/>
      <c r="N53" s="309"/>
      <c r="O53" s="251">
        <v>30</v>
      </c>
      <c r="P53" s="300">
        <f t="shared" si="1"/>
        <v>3</v>
      </c>
      <c r="Q53" s="263" t="e">
        <f t="shared" si="3"/>
        <v>#DIV/0!</v>
      </c>
      <c r="R53" s="263">
        <f>AVERAGE($P$24:P53)</f>
        <v>9.866666666666667</v>
      </c>
      <c r="S53" s="300">
        <f t="shared" si="2"/>
        <v>4</v>
      </c>
      <c r="T53" s="263">
        <f t="shared" si="4"/>
        <v>4</v>
      </c>
      <c r="U53" s="263">
        <f>AVERAGE($S$24:S53)</f>
        <v>15.866666666666667</v>
      </c>
      <c r="V53" s="299"/>
      <c r="W53" s="132"/>
      <c r="X53" s="149"/>
      <c r="Y53" s="149"/>
      <c r="Z53" s="149"/>
    </row>
    <row r="54" spans="1:26" ht="15">
      <c r="A54" s="247"/>
      <c r="B54" s="270"/>
      <c r="C54" s="247"/>
      <c r="D54" s="247"/>
      <c r="E54" s="247"/>
      <c r="F54" s="271"/>
      <c r="G54" s="271"/>
      <c r="H54" s="271"/>
      <c r="I54" s="271"/>
      <c r="J54" s="225"/>
      <c r="K54" s="247"/>
      <c r="L54" s="225"/>
      <c r="M54" s="308"/>
      <c r="N54" s="309"/>
      <c r="O54" s="251">
        <v>31</v>
      </c>
      <c r="P54" s="300">
        <f t="shared" si="1"/>
        <v>3</v>
      </c>
      <c r="Q54" s="263" t="e">
        <f t="shared" si="3"/>
        <v>#DIV/0!</v>
      </c>
      <c r="R54" s="263">
        <f>AVERAGE($P$24:P54)</f>
        <v>9.64516129032258</v>
      </c>
      <c r="S54" s="300">
        <f t="shared" si="2"/>
        <v>4</v>
      </c>
      <c r="T54" s="263">
        <f t="shared" si="4"/>
        <v>4</v>
      </c>
      <c r="U54" s="263">
        <f>AVERAGE($S$24:S54)</f>
        <v>15.483870967741936</v>
      </c>
      <c r="V54" s="299"/>
      <c r="W54" s="132"/>
      <c r="X54" s="149"/>
      <c r="Y54" s="149"/>
      <c r="Z54" s="149"/>
    </row>
    <row r="55" spans="1:26" ht="15">
      <c r="A55" s="247"/>
      <c r="B55" s="270"/>
      <c r="C55" s="247"/>
      <c r="D55" s="247"/>
      <c r="E55" s="247"/>
      <c r="F55" s="271"/>
      <c r="G55" s="271"/>
      <c r="H55" s="271"/>
      <c r="I55" s="271"/>
      <c r="J55" s="225"/>
      <c r="K55" s="247"/>
      <c r="L55" s="225"/>
      <c r="M55" s="308"/>
      <c r="N55" s="309"/>
      <c r="O55" s="251">
        <v>32</v>
      </c>
      <c r="P55" s="300">
        <f t="shared" si="1"/>
        <v>3</v>
      </c>
      <c r="Q55" s="263" t="e">
        <f t="shared" si="3"/>
        <v>#DIV/0!</v>
      </c>
      <c r="R55" s="263">
        <f>AVERAGE($P$24:P55)</f>
        <v>9.4375</v>
      </c>
      <c r="S55" s="300">
        <f t="shared" si="2"/>
        <v>4</v>
      </c>
      <c r="T55" s="263">
        <f t="shared" si="4"/>
        <v>4</v>
      </c>
      <c r="U55" s="263">
        <f>AVERAGE($S$24:S55)</f>
        <v>15.125</v>
      </c>
      <c r="V55" s="299"/>
      <c r="W55" s="132"/>
      <c r="X55" s="149"/>
      <c r="Y55" s="149"/>
      <c r="Z55" s="149"/>
    </row>
    <row r="56" spans="1:26" ht="15">
      <c r="A56" s="247"/>
      <c r="B56" s="270"/>
      <c r="C56" s="247"/>
      <c r="D56" s="247"/>
      <c r="E56" s="247"/>
      <c r="F56" s="271"/>
      <c r="G56" s="271"/>
      <c r="H56" s="271"/>
      <c r="I56" s="271"/>
      <c r="J56" s="225"/>
      <c r="K56" s="247"/>
      <c r="L56" s="225"/>
      <c r="M56" s="308"/>
      <c r="N56" s="309"/>
      <c r="O56" s="251">
        <v>33</v>
      </c>
      <c r="P56" s="300">
        <f t="shared" si="1"/>
        <v>3</v>
      </c>
      <c r="Q56" s="263" t="e">
        <f t="shared" si="3"/>
        <v>#DIV/0!</v>
      </c>
      <c r="R56" s="263">
        <f>AVERAGE($P$24:P56)</f>
        <v>9.242424242424242</v>
      </c>
      <c r="S56" s="300">
        <f t="shared" si="2"/>
        <v>4</v>
      </c>
      <c r="T56" s="263">
        <f t="shared" si="4"/>
        <v>4</v>
      </c>
      <c r="U56" s="263">
        <f>AVERAGE($S$24:S56)</f>
        <v>14.787878787878787</v>
      </c>
      <c r="V56" s="299"/>
      <c r="W56" s="132"/>
      <c r="X56" s="149"/>
      <c r="Y56" s="149"/>
      <c r="Z56" s="149"/>
    </row>
    <row r="57" spans="1:26" ht="15">
      <c r="A57" s="247"/>
      <c r="B57" s="270"/>
      <c r="C57" s="247"/>
      <c r="D57" s="247"/>
      <c r="E57" s="247"/>
      <c r="F57" s="271"/>
      <c r="G57" s="271"/>
      <c r="H57" s="271"/>
      <c r="I57" s="271"/>
      <c r="J57" s="225"/>
      <c r="K57" s="247"/>
      <c r="L57" s="225"/>
      <c r="M57" s="308"/>
      <c r="N57" s="309"/>
      <c r="O57" s="251">
        <v>34</v>
      </c>
      <c r="P57" s="303">
        <f t="shared" si="1"/>
        <v>3</v>
      </c>
      <c r="Q57" s="263" t="e">
        <f t="shared" si="3"/>
        <v>#DIV/0!</v>
      </c>
      <c r="R57" s="263">
        <f>AVERAGE($P$24:P57)</f>
        <v>9.058823529411764</v>
      </c>
      <c r="S57" s="303">
        <f t="shared" si="2"/>
        <v>4</v>
      </c>
      <c r="T57" s="263">
        <f t="shared" si="4"/>
        <v>4</v>
      </c>
      <c r="U57" s="263">
        <f>AVERAGE($S$24:S57)</f>
        <v>14.470588235294118</v>
      </c>
      <c r="V57" s="299"/>
      <c r="W57" s="132"/>
      <c r="X57" s="149"/>
      <c r="Y57" s="149"/>
      <c r="Z57" s="149"/>
    </row>
    <row r="58" spans="1:26" ht="15">
      <c r="A58" s="247"/>
      <c r="B58" s="270"/>
      <c r="C58" s="247"/>
      <c r="D58" s="247"/>
      <c r="E58" s="247"/>
      <c r="F58" s="271"/>
      <c r="G58" s="271"/>
      <c r="H58" s="271"/>
      <c r="I58" s="271"/>
      <c r="J58" s="225"/>
      <c r="K58" s="247"/>
      <c r="L58" s="225"/>
      <c r="M58" s="308"/>
      <c r="N58" s="309"/>
      <c r="O58" s="251">
        <v>35</v>
      </c>
      <c r="P58" s="303">
        <f t="shared" si="1"/>
        <v>3</v>
      </c>
      <c r="Q58" s="263" t="e">
        <f t="shared" si="3"/>
        <v>#DIV/0!</v>
      </c>
      <c r="R58" s="263">
        <f>AVERAGE($P$24:P58)</f>
        <v>8.885714285714286</v>
      </c>
      <c r="S58" s="303">
        <f t="shared" si="2"/>
        <v>4</v>
      </c>
      <c r="T58" s="263">
        <f t="shared" si="4"/>
        <v>4</v>
      </c>
      <c r="U58" s="263">
        <f>AVERAGE($S$24:S58)</f>
        <v>14.17142857142857</v>
      </c>
      <c r="V58" s="299"/>
      <c r="W58" s="132"/>
      <c r="X58" s="310"/>
      <c r="Y58" s="149"/>
      <c r="Z58" s="149"/>
    </row>
    <row r="59" spans="1:26" ht="15">
      <c r="A59" s="247"/>
      <c r="B59" s="270"/>
      <c r="C59" s="247"/>
      <c r="D59" s="247"/>
      <c r="E59" s="247"/>
      <c r="F59" s="271"/>
      <c r="G59" s="271"/>
      <c r="H59" s="271"/>
      <c r="I59" s="271"/>
      <c r="J59" s="225"/>
      <c r="K59" s="247"/>
      <c r="L59" s="225"/>
      <c r="M59" s="308"/>
      <c r="N59" s="309"/>
      <c r="O59" s="251">
        <v>36</v>
      </c>
      <c r="P59" s="303">
        <f t="shared" si="1"/>
        <v>3</v>
      </c>
      <c r="Q59" s="263" t="e">
        <f t="shared" si="3"/>
        <v>#DIV/0!</v>
      </c>
      <c r="R59" s="263">
        <f>AVERAGE($P$24:P59)</f>
        <v>8.722222222222221</v>
      </c>
      <c r="S59" s="303">
        <f t="shared" si="2"/>
        <v>4</v>
      </c>
      <c r="T59" s="263">
        <f t="shared" si="4"/>
        <v>4</v>
      </c>
      <c r="U59" s="263">
        <f>AVERAGE($S$24:S59)</f>
        <v>13.88888888888889</v>
      </c>
      <c r="V59" s="299"/>
      <c r="W59" s="132"/>
      <c r="X59" s="310"/>
      <c r="Y59" s="149"/>
      <c r="Z59" s="149"/>
    </row>
    <row r="60" spans="1:26" ht="15">
      <c r="A60" s="247"/>
      <c r="B60" s="270"/>
      <c r="C60" s="247"/>
      <c r="D60" s="247"/>
      <c r="E60" s="247"/>
      <c r="F60" s="271"/>
      <c r="G60" s="271"/>
      <c r="H60" s="271"/>
      <c r="I60" s="271"/>
      <c r="J60" s="225"/>
      <c r="K60" s="247"/>
      <c r="L60" s="225"/>
      <c r="M60" s="308"/>
      <c r="N60" s="309"/>
      <c r="O60" s="251">
        <v>37</v>
      </c>
      <c r="P60" s="303">
        <f t="shared" si="1"/>
        <v>3</v>
      </c>
      <c r="Q60" s="263" t="e">
        <f t="shared" si="3"/>
        <v>#DIV/0!</v>
      </c>
      <c r="R60" s="263">
        <f>AVERAGE($P$24:P60)</f>
        <v>8.567567567567568</v>
      </c>
      <c r="S60" s="303">
        <f t="shared" si="2"/>
        <v>4</v>
      </c>
      <c r="T60" s="263">
        <f t="shared" si="4"/>
        <v>4</v>
      </c>
      <c r="U60" s="263">
        <f>AVERAGE($S$24:S60)</f>
        <v>13.621621621621621</v>
      </c>
      <c r="V60" s="299"/>
      <c r="W60" s="132"/>
      <c r="X60" s="310"/>
      <c r="Y60" s="149"/>
      <c r="Z60" s="149"/>
    </row>
    <row r="61" spans="1:26" ht="15">
      <c r="A61" s="247"/>
      <c r="B61" s="270"/>
      <c r="C61" s="247"/>
      <c r="D61" s="247"/>
      <c r="E61" s="247"/>
      <c r="F61" s="271"/>
      <c r="G61" s="271"/>
      <c r="H61" s="271"/>
      <c r="I61" s="271"/>
      <c r="J61" s="225"/>
      <c r="K61" s="247"/>
      <c r="L61" s="225"/>
      <c r="M61" s="308"/>
      <c r="N61" s="309"/>
      <c r="O61" s="251">
        <v>38</v>
      </c>
      <c r="P61" s="303">
        <f t="shared" si="1"/>
        <v>3</v>
      </c>
      <c r="Q61" s="263" t="e">
        <f t="shared" si="3"/>
        <v>#DIV/0!</v>
      </c>
      <c r="R61" s="263">
        <f>AVERAGE($P$24:P61)</f>
        <v>8.421052631578947</v>
      </c>
      <c r="S61" s="303">
        <f t="shared" si="2"/>
        <v>4</v>
      </c>
      <c r="T61" s="263">
        <f t="shared" si="4"/>
        <v>4</v>
      </c>
      <c r="U61" s="263">
        <f>AVERAGE($S$24:S61)</f>
        <v>13.368421052631579</v>
      </c>
      <c r="V61" s="299"/>
      <c r="W61" s="132"/>
      <c r="X61" s="310"/>
      <c r="Y61" s="149"/>
      <c r="Z61" s="149"/>
    </row>
    <row r="62" spans="1:26" ht="15">
      <c r="A62" s="247"/>
      <c r="B62" s="270"/>
      <c r="C62" s="247"/>
      <c r="D62" s="247"/>
      <c r="E62" s="247"/>
      <c r="F62" s="271"/>
      <c r="G62" s="271"/>
      <c r="H62" s="271"/>
      <c r="I62" s="271"/>
      <c r="J62" s="225"/>
      <c r="K62" s="247"/>
      <c r="L62" s="225"/>
      <c r="M62" s="308"/>
      <c r="N62" s="309"/>
      <c r="O62" s="251">
        <v>39</v>
      </c>
      <c r="P62" s="303">
        <f t="shared" si="1"/>
        <v>3</v>
      </c>
      <c r="Q62" s="263" t="e">
        <f t="shared" si="3"/>
        <v>#DIV/0!</v>
      </c>
      <c r="R62" s="263">
        <f>AVERAGE($P$24:P62)</f>
        <v>8.282051282051283</v>
      </c>
      <c r="S62" s="303">
        <f t="shared" si="2"/>
        <v>4</v>
      </c>
      <c r="T62" s="263">
        <f t="shared" si="4"/>
        <v>4</v>
      </c>
      <c r="U62" s="263">
        <f>AVERAGE($S$24:S62)</f>
        <v>13.128205128205128</v>
      </c>
      <c r="V62" s="132"/>
      <c r="W62" s="132"/>
      <c r="X62" s="310"/>
      <c r="Y62" s="149"/>
      <c r="Z62" s="149"/>
    </row>
    <row r="63" spans="1:26" ht="15">
      <c r="A63" s="247"/>
      <c r="B63" s="270"/>
      <c r="C63" s="247"/>
      <c r="D63" s="247"/>
      <c r="E63" s="247"/>
      <c r="F63" s="271"/>
      <c r="G63" s="271"/>
      <c r="H63" s="271"/>
      <c r="I63" s="271"/>
      <c r="J63" s="225"/>
      <c r="K63" s="247"/>
      <c r="L63" s="225"/>
      <c r="M63" s="225"/>
      <c r="N63" s="309"/>
      <c r="O63" s="251">
        <v>40</v>
      </c>
      <c r="P63" s="303">
        <f t="shared" si="1"/>
        <v>3</v>
      </c>
      <c r="Q63" s="263" t="e">
        <f t="shared" si="3"/>
        <v>#DIV/0!</v>
      </c>
      <c r="R63" s="263">
        <f>AVERAGE($P$24:P63)</f>
        <v>8.15</v>
      </c>
      <c r="S63" s="303">
        <f t="shared" si="2"/>
        <v>4</v>
      </c>
      <c r="T63" s="263">
        <f>IF($M$3&lt;25,S63,IF($M$3&lt;50,AVERAGE(S62:S63),IF($M$3&lt;75,AVERAGE(S61:S63),IF($M$3&lt;100,AVERAGE(S60:S63),IF($M$3&lt;125,AVERAGE(S60:S63),IF($M$3&lt;150,AVERAGE(S59:S63),IF($M$3&lt;175,AVERAGE(S58:S63),AVERAGE(S57:S63))))))))</f>
        <v>4</v>
      </c>
      <c r="U63" s="263">
        <f>AVERAGE($S$24:S63)</f>
        <v>12.9</v>
      </c>
      <c r="V63" s="132"/>
      <c r="W63" s="132"/>
      <c r="X63" s="310"/>
      <c r="Y63" s="149"/>
      <c r="Z63" s="149"/>
    </row>
    <row r="64" spans="12:26" ht="15">
      <c r="L64"/>
      <c r="M64"/>
      <c r="N64" s="309"/>
      <c r="O64" s="245"/>
      <c r="P64" s="237"/>
      <c r="Q64" s="245"/>
      <c r="R64" s="259"/>
      <c r="S64" s="245"/>
      <c r="T64" s="245"/>
      <c r="U64" s="132"/>
      <c r="V64" s="132"/>
      <c r="W64" s="132"/>
      <c r="X64" s="310"/>
      <c r="Y64" s="149"/>
      <c r="Z64" s="149"/>
    </row>
    <row r="65" spans="12:26" ht="15">
      <c r="L65"/>
      <c r="M65"/>
      <c r="N65" s="309"/>
      <c r="O65" s="245"/>
      <c r="P65" s="237"/>
      <c r="Q65" s="245"/>
      <c r="R65" s="259"/>
      <c r="S65" s="245"/>
      <c r="T65" s="245"/>
      <c r="U65" s="132"/>
      <c r="V65" s="132"/>
      <c r="W65" s="132"/>
      <c r="X65" s="310"/>
      <c r="Y65" s="149"/>
      <c r="Z65" s="149"/>
    </row>
    <row r="66" spans="12:24" ht="15">
      <c r="L66"/>
      <c r="M66"/>
      <c r="N66" s="309"/>
      <c r="O66" s="245"/>
      <c r="P66" s="237"/>
      <c r="Q66" s="245"/>
      <c r="R66" s="259"/>
      <c r="S66" s="245"/>
      <c r="T66" s="245"/>
      <c r="U66" s="132"/>
      <c r="V66" s="132"/>
      <c r="W66" s="132"/>
      <c r="X66" s="310"/>
    </row>
    <row r="67" spans="12:24" ht="15">
      <c r="L67"/>
      <c r="M67"/>
      <c r="N67" s="309"/>
      <c r="O67" s="245"/>
      <c r="P67" s="237"/>
      <c r="Q67" s="245"/>
      <c r="R67" s="259"/>
      <c r="S67" s="245"/>
      <c r="T67" s="245"/>
      <c r="U67" s="132"/>
      <c r="V67" s="132"/>
      <c r="W67" s="132"/>
      <c r="X67" s="310"/>
    </row>
    <row r="68" spans="12:24" ht="15">
      <c r="L68"/>
      <c r="M68"/>
      <c r="N68" s="309"/>
      <c r="O68" s="309"/>
      <c r="P68" s="237"/>
      <c r="Q68" s="245"/>
      <c r="R68" s="259"/>
      <c r="S68" s="245"/>
      <c r="T68" s="245"/>
      <c r="U68" s="132"/>
      <c r="V68" s="132"/>
      <c r="W68" s="132"/>
      <c r="X68" s="310"/>
    </row>
    <row r="69" spans="12:24" ht="15">
      <c r="L69" s="225"/>
      <c r="M69" s="225"/>
      <c r="N69" s="309"/>
      <c r="O69" s="309"/>
      <c r="P69" s="237"/>
      <c r="Q69" s="245"/>
      <c r="R69" s="259"/>
      <c r="S69" s="245"/>
      <c r="T69" s="245"/>
      <c r="U69" s="132"/>
      <c r="V69" s="132"/>
      <c r="W69" s="132"/>
      <c r="X69" s="310"/>
    </row>
    <row r="70" spans="12:24" ht="15">
      <c r="L70" s="225"/>
      <c r="M70" s="225"/>
      <c r="N70" s="309"/>
      <c r="O70" s="309"/>
      <c r="P70" s="237"/>
      <c r="Q70" s="245"/>
      <c r="R70" s="259"/>
      <c r="S70" s="245"/>
      <c r="T70" s="245"/>
      <c r="U70" s="132"/>
      <c r="V70" s="132"/>
      <c r="W70" s="132"/>
      <c r="X70" s="310"/>
    </row>
    <row r="71" spans="12:24" ht="15">
      <c r="L71" s="225"/>
      <c r="M71" s="225"/>
      <c r="N71" s="309"/>
      <c r="O71" s="309"/>
      <c r="P71" s="237"/>
      <c r="Q71" s="245"/>
      <c r="R71" s="259"/>
      <c r="S71" s="245"/>
      <c r="T71" s="245"/>
      <c r="U71" s="132"/>
      <c r="V71" s="132"/>
      <c r="W71" s="132"/>
      <c r="X71" s="310"/>
    </row>
    <row r="72" spans="12:24" ht="15">
      <c r="L72" s="225"/>
      <c r="M72" s="225"/>
      <c r="N72" s="309"/>
      <c r="O72" s="309"/>
      <c r="P72" s="237"/>
      <c r="Q72" s="245"/>
      <c r="R72" s="259"/>
      <c r="S72" s="245"/>
      <c r="T72" s="245"/>
      <c r="U72" s="132"/>
      <c r="V72" s="132"/>
      <c r="W72" s="132"/>
      <c r="X72" s="310"/>
    </row>
    <row r="73" spans="12:24" ht="15">
      <c r="L73" s="225"/>
      <c r="M73" s="225"/>
      <c r="N73" s="309"/>
      <c r="O73" s="309"/>
      <c r="P73" s="308"/>
      <c r="Q73" s="309"/>
      <c r="R73" s="318"/>
      <c r="S73" s="309"/>
      <c r="T73" s="309"/>
      <c r="U73" s="310"/>
      <c r="V73" s="310"/>
      <c r="W73" s="310"/>
      <c r="X73" s="310"/>
    </row>
    <row r="74" spans="12:24" ht="15">
      <c r="L74" s="247"/>
      <c r="M74" s="247"/>
      <c r="N74" s="309"/>
      <c r="O74" s="309"/>
      <c r="P74" s="308"/>
      <c r="Q74" s="309"/>
      <c r="R74" s="318"/>
      <c r="S74" s="309"/>
      <c r="T74" s="309"/>
      <c r="U74" s="310"/>
      <c r="V74" s="310"/>
      <c r="W74" s="310"/>
      <c r="X74" s="310"/>
    </row>
    <row r="75" spans="11:24" ht="15">
      <c r="K75" s="17"/>
      <c r="L75" s="247"/>
      <c r="M75" s="247"/>
      <c r="N75" s="309"/>
      <c r="O75" s="309"/>
      <c r="P75" s="308"/>
      <c r="Q75" s="309"/>
      <c r="R75" s="318"/>
      <c r="S75" s="309"/>
      <c r="T75" s="309"/>
      <c r="U75" s="310"/>
      <c r="V75" s="310"/>
      <c r="W75" s="310"/>
      <c r="X75" s="310"/>
    </row>
    <row r="76" spans="12:24" ht="15">
      <c r="L76" s="247"/>
      <c r="M76" s="247"/>
      <c r="N76" s="309"/>
      <c r="O76" s="309"/>
      <c r="P76" s="308"/>
      <c r="Q76" s="309"/>
      <c r="R76" s="318"/>
      <c r="S76" s="309"/>
      <c r="T76" s="309"/>
      <c r="U76" s="310"/>
      <c r="V76" s="310"/>
      <c r="W76" s="310"/>
      <c r="X76" s="310"/>
    </row>
    <row r="77" spans="12:24" ht="15">
      <c r="L77" s="247"/>
      <c r="M77" s="247"/>
      <c r="N77" s="309"/>
      <c r="O77" s="309"/>
      <c r="P77" s="308"/>
      <c r="Q77" s="309"/>
      <c r="R77" s="318"/>
      <c r="S77" s="309"/>
      <c r="T77" s="309"/>
      <c r="U77" s="310"/>
      <c r="V77" s="310"/>
      <c r="W77" s="310"/>
      <c r="X77" s="310"/>
    </row>
    <row r="78" spans="12:24" ht="15">
      <c r="L78" s="247"/>
      <c r="M78" s="247"/>
      <c r="N78" s="309"/>
      <c r="O78" s="309"/>
      <c r="P78" s="308"/>
      <c r="Q78" s="309"/>
      <c r="R78" s="318"/>
      <c r="S78" s="309"/>
      <c r="T78" s="309"/>
      <c r="U78" s="310"/>
      <c r="V78" s="310"/>
      <c r="W78" s="310"/>
      <c r="X78" s="310"/>
    </row>
    <row r="79" spans="12:24" ht="15">
      <c r="L79" s="247"/>
      <c r="M79" s="247"/>
      <c r="N79" s="309"/>
      <c r="O79" s="309"/>
      <c r="P79" s="308"/>
      <c r="Q79" s="309"/>
      <c r="R79" s="318"/>
      <c r="S79" s="309"/>
      <c r="T79" s="309"/>
      <c r="U79" s="310"/>
      <c r="V79" s="310"/>
      <c r="W79" s="310"/>
      <c r="X79" s="310"/>
    </row>
    <row r="80" spans="12:24" ht="15">
      <c r="L80" s="247"/>
      <c r="M80" s="247"/>
      <c r="N80" s="309"/>
      <c r="O80" s="309"/>
      <c r="P80" s="308"/>
      <c r="Q80" s="309"/>
      <c r="R80" s="318"/>
      <c r="S80" s="309"/>
      <c r="T80" s="309"/>
      <c r="U80" s="310"/>
      <c r="V80" s="310"/>
      <c r="W80" s="310"/>
      <c r="X80" s="310"/>
    </row>
    <row r="81" spans="12:24" ht="15">
      <c r="L81" s="247"/>
      <c r="M81" s="247"/>
      <c r="N81" s="309"/>
      <c r="O81" s="309"/>
      <c r="P81" s="308"/>
      <c r="Q81" s="309"/>
      <c r="R81" s="312"/>
      <c r="S81" s="310"/>
      <c r="T81" s="310"/>
      <c r="U81" s="310"/>
      <c r="V81" s="310"/>
      <c r="W81" s="310"/>
      <c r="X81" s="310"/>
    </row>
    <row r="82" spans="12:24" ht="15">
      <c r="L82" s="247"/>
      <c r="M82" s="247"/>
      <c r="N82" s="309"/>
      <c r="O82" s="309"/>
      <c r="P82" s="308"/>
      <c r="Q82" s="309"/>
      <c r="R82" s="312"/>
      <c r="S82" s="310"/>
      <c r="T82" s="310"/>
      <c r="U82" s="310"/>
      <c r="V82" s="310"/>
      <c r="W82" s="310"/>
      <c r="X82" s="310"/>
    </row>
    <row r="83" spans="12:24" ht="15">
      <c r="L83" s="247"/>
      <c r="M83" s="247"/>
      <c r="N83" s="309"/>
      <c r="O83" s="309"/>
      <c r="P83" s="308"/>
      <c r="Q83" s="309"/>
      <c r="R83" s="312"/>
      <c r="S83" s="310"/>
      <c r="T83" s="310"/>
      <c r="U83" s="310"/>
      <c r="V83" s="310"/>
      <c r="W83" s="310"/>
      <c r="X83" s="310"/>
    </row>
    <row r="84" spans="12:24" ht="15">
      <c r="L84" s="247"/>
      <c r="M84" s="247"/>
      <c r="N84" s="309"/>
      <c r="O84" s="309"/>
      <c r="P84" s="308"/>
      <c r="Q84" s="309"/>
      <c r="R84" s="312"/>
      <c r="S84" s="310"/>
      <c r="T84" s="310"/>
      <c r="U84" s="310"/>
      <c r="V84" s="310"/>
      <c r="W84" s="310"/>
      <c r="X84" s="310"/>
    </row>
    <row r="85" spans="12:24" ht="15">
      <c r="L85" s="247"/>
      <c r="M85" s="247"/>
      <c r="N85" s="309"/>
      <c r="O85" s="309"/>
      <c r="P85" s="308"/>
      <c r="Q85" s="309"/>
      <c r="R85" s="312"/>
      <c r="S85" s="310"/>
      <c r="T85" s="310"/>
      <c r="U85" s="310"/>
      <c r="V85" s="310"/>
      <c r="W85" s="310"/>
      <c r="X85" s="310"/>
    </row>
    <row r="86" spans="12:24" ht="15">
      <c r="L86" s="247"/>
      <c r="M86" s="247"/>
      <c r="N86" s="309"/>
      <c r="O86" s="309"/>
      <c r="P86" s="308"/>
      <c r="Q86" s="309"/>
      <c r="R86" s="312"/>
      <c r="S86" s="310"/>
      <c r="T86" s="310"/>
      <c r="U86" s="310"/>
      <c r="V86" s="310"/>
      <c r="W86" s="310"/>
      <c r="X86" s="310"/>
    </row>
    <row r="87" spans="12:24" ht="15">
      <c r="L87" s="247"/>
      <c r="M87" s="247"/>
      <c r="N87" s="309"/>
      <c r="O87" s="309"/>
      <c r="P87" s="308"/>
      <c r="Q87" s="309"/>
      <c r="R87" s="312"/>
      <c r="S87" s="310"/>
      <c r="T87" s="310"/>
      <c r="U87" s="310"/>
      <c r="V87" s="310"/>
      <c r="W87" s="310"/>
      <c r="X87" s="310"/>
    </row>
    <row r="88" spans="12:24" ht="15">
      <c r="L88" s="247"/>
      <c r="M88" s="247"/>
      <c r="N88" s="309"/>
      <c r="O88" s="309"/>
      <c r="P88" s="308"/>
      <c r="Q88" s="309"/>
      <c r="R88" s="312"/>
      <c r="S88" s="310"/>
      <c r="T88" s="310"/>
      <c r="U88" s="310"/>
      <c r="V88" s="310"/>
      <c r="W88" s="310"/>
      <c r="X88" s="310"/>
    </row>
    <row r="89" spans="12:24" ht="15">
      <c r="L89" s="247"/>
      <c r="M89" s="247"/>
      <c r="N89" s="309"/>
      <c r="O89" s="309"/>
      <c r="P89" s="308"/>
      <c r="Q89" s="309"/>
      <c r="R89" s="312"/>
      <c r="S89" s="310"/>
      <c r="T89" s="310"/>
      <c r="U89" s="310"/>
      <c r="V89" s="310"/>
      <c r="W89" s="310"/>
      <c r="X89" s="310"/>
    </row>
    <row r="90" spans="12:24" ht="15">
      <c r="L90" s="247"/>
      <c r="M90" s="247"/>
      <c r="N90" s="309"/>
      <c r="O90" s="309"/>
      <c r="P90" s="308"/>
      <c r="Q90" s="309"/>
      <c r="R90" s="312"/>
      <c r="S90" s="310"/>
      <c r="T90" s="310"/>
      <c r="U90" s="310"/>
      <c r="V90" s="310"/>
      <c r="W90" s="310"/>
      <c r="X90" s="310"/>
    </row>
    <row r="91" spans="14:24" ht="15">
      <c r="N91" s="310"/>
      <c r="O91" s="310"/>
      <c r="P91" s="311"/>
      <c r="Q91" s="310"/>
      <c r="R91" s="312"/>
      <c r="S91" s="310"/>
      <c r="T91" s="310"/>
      <c r="U91" s="310"/>
      <c r="V91" s="310"/>
      <c r="W91" s="310"/>
      <c r="X91" s="310"/>
    </row>
    <row r="92" spans="14:24" ht="15">
      <c r="N92" s="310"/>
      <c r="O92" s="310"/>
      <c r="P92" s="311"/>
      <c r="Q92" s="310"/>
      <c r="R92" s="312"/>
      <c r="S92" s="310"/>
      <c r="T92" s="310"/>
      <c r="U92" s="310"/>
      <c r="V92" s="310"/>
      <c r="W92" s="310"/>
      <c r="X92" s="310"/>
    </row>
    <row r="93" spans="14:24" ht="15">
      <c r="N93" s="310"/>
      <c r="O93" s="310"/>
      <c r="P93" s="311"/>
      <c r="Q93" s="310"/>
      <c r="R93" s="312"/>
      <c r="S93" s="310"/>
      <c r="T93" s="310"/>
      <c r="U93" s="310"/>
      <c r="V93" s="310"/>
      <c r="W93" s="310"/>
      <c r="X93" s="310"/>
    </row>
  </sheetData>
  <sheetProtection selectLockedCells="1" selectUnlockedCells="1"/>
  <protectedRanges>
    <protectedRange sqref="B3:D42" name="Intervalo1"/>
  </protectedRanges>
  <mergeCells count="12">
    <mergeCell ref="C2:D2"/>
    <mergeCell ref="A1:D1"/>
    <mergeCell ref="E1:F1"/>
    <mergeCell ref="E2:F2"/>
    <mergeCell ref="G1:I2"/>
    <mergeCell ref="K1:N1"/>
    <mergeCell ref="K7:N7"/>
    <mergeCell ref="K12:N12"/>
    <mergeCell ref="S22:U22"/>
    <mergeCell ref="P1:S1"/>
    <mergeCell ref="P22:R22"/>
    <mergeCell ref="K10:K11"/>
  </mergeCells>
  <conditionalFormatting sqref="H3:H42">
    <cfRule type="cellIs" priority="3" dxfId="17" operator="between">
      <formula>1</formula>
      <formula>41</formula>
    </cfRule>
  </conditionalFormatting>
  <conditionalFormatting sqref="F3:F42">
    <cfRule type="cellIs" priority="5" dxfId="18" operator="greaterThan">
      <formula>$E$2-1</formula>
    </cfRule>
  </conditionalFormatting>
  <conditionalFormatting sqref="L10">
    <cfRule type="expression" priority="1" dxfId="14">
      <formula>$L$4=9</formula>
    </cfRule>
  </conditionalFormatting>
  <printOptions/>
  <pageMargins left="0.511811024" right="0.511811024" top="0.787401575" bottom="0.787401575" header="0.31496062" footer="0.3149606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Plan10"/>
  <dimension ref="A1:S72"/>
  <sheetViews>
    <sheetView tabSelected="1" zoomScalePageLayoutView="0" workbookViewId="0" topLeftCell="A1">
      <selection activeCell="M22" sqref="M22"/>
    </sheetView>
  </sheetViews>
  <sheetFormatPr defaultColWidth="9.140625" defaultRowHeight="15"/>
  <cols>
    <col min="1" max="1" width="6.140625" style="0" customWidth="1"/>
    <col min="2" max="2" width="6.8515625" style="0" customWidth="1"/>
    <col min="3" max="3" width="7.00390625" style="0" customWidth="1"/>
    <col min="4" max="4" width="7.421875" style="0" customWidth="1"/>
    <col min="5" max="5" width="8.140625" style="0" customWidth="1"/>
    <col min="6" max="6" width="7.57421875" style="0" customWidth="1"/>
    <col min="7" max="7" width="10.28125" style="0" customWidth="1"/>
    <col min="10" max="10" width="11.421875" style="0" customWidth="1"/>
    <col min="11" max="11" width="2.7109375" style="0" customWidth="1"/>
  </cols>
  <sheetData>
    <row r="1" spans="1:19" ht="15.75">
      <c r="A1" s="390" t="s">
        <v>270</v>
      </c>
      <c r="B1" s="390"/>
      <c r="C1" s="390"/>
      <c r="D1" s="390"/>
      <c r="E1" s="390"/>
      <c r="F1" s="390"/>
      <c r="G1" s="390"/>
      <c r="H1" s="390"/>
      <c r="I1" s="390"/>
      <c r="J1" s="161"/>
      <c r="K1" s="161"/>
      <c r="L1" s="343">
        <v>2</v>
      </c>
      <c r="M1" s="344" t="s">
        <v>13</v>
      </c>
      <c r="N1" s="345"/>
      <c r="O1" s="342"/>
      <c r="R1" s="161"/>
      <c r="S1" s="161"/>
    </row>
    <row r="2" spans="1:19" ht="15.75">
      <c r="A2" s="391" t="s">
        <v>271</v>
      </c>
      <c r="B2" s="391"/>
      <c r="C2" s="391"/>
      <c r="D2" s="391"/>
      <c r="E2" s="391"/>
      <c r="F2" s="391"/>
      <c r="G2" s="391"/>
      <c r="H2" s="391"/>
      <c r="I2" s="391"/>
      <c r="J2" s="161"/>
      <c r="K2" s="161"/>
      <c r="L2" s="343">
        <v>3</v>
      </c>
      <c r="M2" s="346" t="s">
        <v>14</v>
      </c>
      <c r="N2" s="345"/>
      <c r="O2" s="342"/>
      <c r="R2" s="161"/>
      <c r="S2" s="161"/>
    </row>
    <row r="3" spans="1:19" ht="10.5" customHeight="1">
      <c r="A3" s="320"/>
      <c r="B3" s="320"/>
      <c r="C3" s="320"/>
      <c r="D3" s="320"/>
      <c r="E3" s="320"/>
      <c r="F3" s="320"/>
      <c r="G3" s="320"/>
      <c r="H3" s="320"/>
      <c r="I3" s="320"/>
      <c r="J3" s="161"/>
      <c r="K3" s="161"/>
      <c r="L3" s="343">
        <v>4</v>
      </c>
      <c r="M3" s="346" t="s">
        <v>15</v>
      </c>
      <c r="N3" s="345"/>
      <c r="O3" s="342"/>
      <c r="P3" s="319">
        <v>1</v>
      </c>
      <c r="Q3" s="319" t="s">
        <v>316</v>
      </c>
      <c r="R3" s="161"/>
      <c r="S3" s="161"/>
    </row>
    <row r="4" spans="1:19" ht="14.25" customHeight="1">
      <c r="A4" s="321" t="s">
        <v>272</v>
      </c>
      <c r="B4" s="394"/>
      <c r="C4" s="394"/>
      <c r="D4" s="394"/>
      <c r="E4" s="394"/>
      <c r="F4" s="394"/>
      <c r="G4" s="394"/>
      <c r="H4" s="394"/>
      <c r="I4" s="323"/>
      <c r="J4" s="161"/>
      <c r="K4" s="161"/>
      <c r="L4" s="343">
        <v>5</v>
      </c>
      <c r="M4" s="346" t="s">
        <v>16</v>
      </c>
      <c r="N4" s="345"/>
      <c r="O4" s="342"/>
      <c r="P4" s="319">
        <v>2</v>
      </c>
      <c r="Q4" s="319" t="s">
        <v>317</v>
      </c>
      <c r="R4" s="161"/>
      <c r="S4" s="161"/>
    </row>
    <row r="5" spans="1:19" ht="18" customHeight="1">
      <c r="A5" s="321" t="s">
        <v>273</v>
      </c>
      <c r="B5" s="322"/>
      <c r="C5" s="320"/>
      <c r="D5" s="320"/>
      <c r="E5" s="320"/>
      <c r="F5" s="320"/>
      <c r="G5" s="320"/>
      <c r="H5" s="320"/>
      <c r="I5" s="320"/>
      <c r="J5" s="161"/>
      <c r="K5" s="161"/>
      <c r="L5" s="343">
        <v>6</v>
      </c>
      <c r="M5" s="346" t="s">
        <v>17</v>
      </c>
      <c r="N5" s="345"/>
      <c r="O5" s="342"/>
      <c r="P5" s="319">
        <v>3</v>
      </c>
      <c r="Q5" s="319" t="s">
        <v>318</v>
      </c>
      <c r="R5" s="161"/>
      <c r="S5" s="161"/>
    </row>
    <row r="6" spans="1:19" ht="10.5" customHeight="1">
      <c r="A6" s="320"/>
      <c r="B6" s="320"/>
      <c r="C6" s="320"/>
      <c r="D6" s="320"/>
      <c r="E6" s="320"/>
      <c r="F6" s="320"/>
      <c r="G6" s="320"/>
      <c r="H6" s="320"/>
      <c r="I6" s="320"/>
      <c r="J6" s="161"/>
      <c r="K6" s="161"/>
      <c r="L6" s="343">
        <v>7</v>
      </c>
      <c r="M6" s="344" t="s">
        <v>18</v>
      </c>
      <c r="N6" s="345"/>
      <c r="O6" s="342"/>
      <c r="P6" s="319">
        <v>4</v>
      </c>
      <c r="Q6" s="319" t="s">
        <v>319</v>
      </c>
      <c r="R6" s="161"/>
      <c r="S6" s="161"/>
    </row>
    <row r="7" spans="1:19" ht="10.5" customHeight="1">
      <c r="A7" s="395" t="s">
        <v>274</v>
      </c>
      <c r="B7" s="395"/>
      <c r="C7" s="395"/>
      <c r="D7" s="395"/>
      <c r="E7" s="395"/>
      <c r="F7" s="320"/>
      <c r="G7" s="320"/>
      <c r="H7" s="320"/>
      <c r="I7" s="320"/>
      <c r="J7" s="161"/>
      <c r="K7" s="161"/>
      <c r="L7" s="343">
        <v>8</v>
      </c>
      <c r="M7" s="346" t="s">
        <v>19</v>
      </c>
      <c r="N7" s="345"/>
      <c r="O7" s="342"/>
      <c r="P7" s="331">
        <v>5</v>
      </c>
      <c r="Q7" s="331" t="s">
        <v>283</v>
      </c>
      <c r="R7" s="161"/>
      <c r="S7" s="161"/>
    </row>
    <row r="8" spans="1:19" ht="10.5" customHeight="1">
      <c r="A8" s="392" t="s">
        <v>275</v>
      </c>
      <c r="B8" s="392"/>
      <c r="C8" s="392"/>
      <c r="D8" s="357" t="s">
        <v>321</v>
      </c>
      <c r="E8" s="320"/>
      <c r="F8" s="320"/>
      <c r="G8" s="320"/>
      <c r="H8" s="320"/>
      <c r="I8" s="320"/>
      <c r="J8" s="161"/>
      <c r="K8" s="161"/>
      <c r="L8" s="343">
        <v>9</v>
      </c>
      <c r="M8" s="346" t="s">
        <v>20</v>
      </c>
      <c r="N8" s="345"/>
      <c r="O8" s="342"/>
      <c r="P8" s="331">
        <v>6</v>
      </c>
      <c r="Q8" s="331" t="s">
        <v>310</v>
      </c>
      <c r="R8" s="161"/>
      <c r="S8" s="161"/>
    </row>
    <row r="9" spans="1:19" ht="10.5" customHeight="1">
      <c r="A9" s="393" t="s">
        <v>276</v>
      </c>
      <c r="B9" s="393"/>
      <c r="C9" s="393"/>
      <c r="D9" s="324">
        <v>100</v>
      </c>
      <c r="E9" s="325" t="s">
        <v>279</v>
      </c>
      <c r="F9" s="320"/>
      <c r="G9" s="320"/>
      <c r="H9" s="320"/>
      <c r="I9" s="320"/>
      <c r="J9" s="161"/>
      <c r="K9" s="161"/>
      <c r="L9" s="343">
        <v>10</v>
      </c>
      <c r="M9" s="346" t="s">
        <v>21</v>
      </c>
      <c r="N9" s="345"/>
      <c r="O9" s="342"/>
      <c r="P9" s="331">
        <v>7</v>
      </c>
      <c r="Q9" s="331" t="s">
        <v>311</v>
      </c>
      <c r="R9" s="161"/>
      <c r="S9" s="161"/>
    </row>
    <row r="10" spans="1:19" ht="10.5" customHeight="1">
      <c r="A10" s="393" t="s">
        <v>277</v>
      </c>
      <c r="B10" s="393"/>
      <c r="C10" s="393"/>
      <c r="D10" s="324">
        <v>10</v>
      </c>
      <c r="E10" s="325" t="s">
        <v>279</v>
      </c>
      <c r="F10" s="395" t="s">
        <v>297</v>
      </c>
      <c r="G10" s="395"/>
      <c r="H10" s="395"/>
      <c r="K10" s="161"/>
      <c r="L10" s="343">
        <v>11</v>
      </c>
      <c r="M10" s="346" t="s">
        <v>22</v>
      </c>
      <c r="N10" s="345"/>
      <c r="O10" s="342"/>
      <c r="P10" s="331">
        <v>8</v>
      </c>
      <c r="Q10" s="331" t="s">
        <v>312</v>
      </c>
      <c r="R10" s="161"/>
      <c r="S10" s="161"/>
    </row>
    <row r="11" spans="1:19" ht="10.5" customHeight="1">
      <c r="A11" s="330"/>
      <c r="B11" s="330"/>
      <c r="C11" s="330"/>
      <c r="D11" s="326"/>
      <c r="E11" s="320"/>
      <c r="F11" s="320"/>
      <c r="G11" s="320"/>
      <c r="H11" s="320"/>
      <c r="I11" s="320"/>
      <c r="J11" s="161"/>
      <c r="K11" s="161"/>
      <c r="L11" s="343">
        <v>12</v>
      </c>
      <c r="M11" s="344" t="s">
        <v>23</v>
      </c>
      <c r="N11" s="345"/>
      <c r="O11" s="342"/>
      <c r="P11" s="331">
        <v>9</v>
      </c>
      <c r="Q11" s="331" t="s">
        <v>313</v>
      </c>
      <c r="R11" s="161"/>
      <c r="S11" s="161"/>
    </row>
    <row r="12" spans="1:19" ht="10.5" customHeight="1">
      <c r="A12" s="393" t="s">
        <v>320</v>
      </c>
      <c r="B12" s="393"/>
      <c r="C12" s="393"/>
      <c r="D12" s="324">
        <v>100</v>
      </c>
      <c r="E12" s="325" t="s">
        <v>279</v>
      </c>
      <c r="F12" s="320"/>
      <c r="G12" s="320"/>
      <c r="H12" s="320"/>
      <c r="I12" s="320"/>
      <c r="J12" s="161"/>
      <c r="K12" s="161"/>
      <c r="L12" s="343">
        <v>13</v>
      </c>
      <c r="M12" s="346" t="s">
        <v>24</v>
      </c>
      <c r="N12" s="345"/>
      <c r="O12" s="342"/>
      <c r="P12" s="331">
        <v>10</v>
      </c>
      <c r="Q12" s="331" t="s">
        <v>314</v>
      </c>
      <c r="R12" s="161"/>
      <c r="S12" s="161"/>
    </row>
    <row r="13" spans="1:19" ht="10.5" customHeight="1">
      <c r="A13" s="330" t="s">
        <v>278</v>
      </c>
      <c r="B13" s="330"/>
      <c r="C13" s="330"/>
      <c r="D13" s="324">
        <v>1</v>
      </c>
      <c r="E13" s="325" t="s">
        <v>279</v>
      </c>
      <c r="F13" s="320"/>
      <c r="G13" s="320"/>
      <c r="H13" s="320"/>
      <c r="I13" s="320"/>
      <c r="J13" s="161"/>
      <c r="K13" s="161"/>
      <c r="L13" s="343">
        <v>14</v>
      </c>
      <c r="M13" s="346" t="s">
        <v>25</v>
      </c>
      <c r="N13" s="345"/>
      <c r="O13" s="342"/>
      <c r="P13" s="331">
        <v>11</v>
      </c>
      <c r="Q13" s="331" t="s">
        <v>315</v>
      </c>
      <c r="R13" s="161"/>
      <c r="S13" s="161"/>
    </row>
    <row r="14" spans="1:19" ht="10.5" customHeight="1">
      <c r="A14" s="320"/>
      <c r="B14" s="320"/>
      <c r="C14" s="320"/>
      <c r="D14" s="320"/>
      <c r="E14" s="320"/>
      <c r="F14" s="320"/>
      <c r="G14" s="320"/>
      <c r="H14" s="320"/>
      <c r="I14" s="320"/>
      <c r="J14" s="161"/>
      <c r="K14" s="161"/>
      <c r="L14" s="343">
        <v>15</v>
      </c>
      <c r="M14" s="346" t="s">
        <v>26</v>
      </c>
      <c r="N14" s="345"/>
      <c r="O14" s="342"/>
      <c r="P14" s="161"/>
      <c r="Q14" s="161"/>
      <c r="R14" s="161"/>
      <c r="S14" s="161"/>
    </row>
    <row r="15" spans="1:19" ht="10.5" customHeight="1">
      <c r="A15" s="395" t="s">
        <v>280</v>
      </c>
      <c r="B15" s="395"/>
      <c r="C15" s="395"/>
      <c r="D15" s="395"/>
      <c r="E15" s="395"/>
      <c r="F15" s="320"/>
      <c r="G15" s="320"/>
      <c r="H15" s="320"/>
      <c r="I15" s="320"/>
      <c r="J15" s="161"/>
      <c r="K15" s="161"/>
      <c r="L15" s="343">
        <v>16</v>
      </c>
      <c r="M15" s="346" t="s">
        <v>27</v>
      </c>
      <c r="N15" s="345"/>
      <c r="O15" s="342"/>
      <c r="P15" s="161"/>
      <c r="Q15" s="161"/>
      <c r="R15" s="161"/>
      <c r="S15" s="161"/>
    </row>
    <row r="16" spans="1:19" ht="10.5" customHeight="1">
      <c r="A16" s="321" t="s">
        <v>281</v>
      </c>
      <c r="B16" s="320"/>
      <c r="C16" s="320"/>
      <c r="D16" s="329" t="str">
        <f>VLOOKUP('Dados de Entrada'!L4,ESTACA,2,FALSE)</f>
        <v>ESCAVADA</v>
      </c>
      <c r="E16" s="320"/>
      <c r="F16" s="320"/>
      <c r="G16" s="320"/>
      <c r="H16" s="320"/>
      <c r="I16" s="320"/>
      <c r="J16" s="161"/>
      <c r="K16" s="161"/>
      <c r="O16" s="342"/>
      <c r="P16" s="161"/>
      <c r="Q16" s="161"/>
      <c r="R16" s="161"/>
      <c r="S16" s="161"/>
    </row>
    <row r="17" spans="1:19" ht="10.5" customHeight="1">
      <c r="A17" s="327" t="s">
        <v>284</v>
      </c>
      <c r="B17" s="320"/>
      <c r="C17" s="320"/>
      <c r="D17" s="324">
        <f>'Décourt-Quaresma'!E8/100</f>
        <v>0.6</v>
      </c>
      <c r="E17" s="325"/>
      <c r="F17" s="320"/>
      <c r="G17" s="320"/>
      <c r="H17" s="320"/>
      <c r="I17" s="320"/>
      <c r="J17" s="161"/>
      <c r="K17" s="161"/>
      <c r="O17" s="342"/>
      <c r="P17" s="161"/>
      <c r="Q17" s="161"/>
      <c r="R17" s="161"/>
      <c r="S17" s="161"/>
    </row>
    <row r="18" spans="1:19" ht="10.5" customHeight="1">
      <c r="A18" s="328" t="s">
        <v>298</v>
      </c>
      <c r="B18" s="320"/>
      <c r="C18" s="320"/>
      <c r="D18" s="324">
        <f>'Décourt-Quaresma'!G8/100</f>
        <v>0.65</v>
      </c>
      <c r="E18" s="325"/>
      <c r="F18" s="320"/>
      <c r="G18" s="320"/>
      <c r="H18" s="320"/>
      <c r="I18" s="320"/>
      <c r="J18" s="161"/>
      <c r="K18" s="161"/>
      <c r="O18" s="342"/>
      <c r="P18" s="161"/>
      <c r="Q18" s="161"/>
      <c r="R18" s="161"/>
      <c r="S18" s="161"/>
    </row>
    <row r="19" spans="1:19" ht="10.5" customHeight="1">
      <c r="A19" s="321" t="s">
        <v>285</v>
      </c>
      <c r="B19" s="320"/>
      <c r="C19" s="320"/>
      <c r="D19" s="324">
        <f>'Dados de Entrada'!M3</f>
        <v>25</v>
      </c>
      <c r="E19" s="325" t="s">
        <v>287</v>
      </c>
      <c r="F19" s="320"/>
      <c r="G19" s="320"/>
      <c r="H19" s="327"/>
      <c r="I19" s="320"/>
      <c r="J19" s="161"/>
      <c r="K19" s="161"/>
      <c r="O19" s="342"/>
      <c r="P19" s="161"/>
      <c r="Q19" s="161"/>
      <c r="R19" s="161"/>
      <c r="S19" s="161"/>
    </row>
    <row r="20" spans="1:19" ht="10.5" customHeight="1">
      <c r="A20" s="321" t="s">
        <v>286</v>
      </c>
      <c r="B20" s="320"/>
      <c r="C20" s="320"/>
      <c r="D20" s="324">
        <f>'Dados de Entrada'!M9</f>
        <v>490.8738521234052</v>
      </c>
      <c r="E20" s="325" t="s">
        <v>288</v>
      </c>
      <c r="F20" s="396"/>
      <c r="G20" s="396"/>
      <c r="H20" s="396"/>
      <c r="I20" s="320"/>
      <c r="J20" s="161"/>
      <c r="K20" s="161"/>
      <c r="O20" s="342"/>
      <c r="P20" s="161"/>
      <c r="Q20" s="161"/>
      <c r="R20" s="161"/>
      <c r="S20" s="161"/>
    </row>
    <row r="21" spans="1:19" ht="10.5" customHeight="1">
      <c r="A21" s="321" t="s">
        <v>289</v>
      </c>
      <c r="B21" s="320"/>
      <c r="C21" s="320"/>
      <c r="D21" s="324">
        <f>'Dados de Entrada'!N9</f>
        <v>78.53981633974483</v>
      </c>
      <c r="E21" s="325" t="s">
        <v>287</v>
      </c>
      <c r="F21" s="349"/>
      <c r="G21" s="349"/>
      <c r="H21" s="333"/>
      <c r="I21" s="320"/>
      <c r="J21" s="161"/>
      <c r="K21" s="161"/>
      <c r="O21" s="342"/>
      <c r="P21" s="161"/>
      <c r="Q21" s="161"/>
      <c r="R21" s="161"/>
      <c r="S21" s="161"/>
    </row>
    <row r="22" spans="1:19" ht="10.5" customHeight="1">
      <c r="A22" s="321" t="s">
        <v>290</v>
      </c>
      <c r="B22" s="320"/>
      <c r="C22" s="320"/>
      <c r="D22" s="324">
        <f>D20</f>
        <v>490.8738521234052</v>
      </c>
      <c r="E22" s="325" t="s">
        <v>287</v>
      </c>
      <c r="F22" s="349"/>
      <c r="G22" s="349"/>
      <c r="H22" s="333"/>
      <c r="I22" s="320"/>
      <c r="J22" s="161"/>
      <c r="K22" s="161"/>
      <c r="O22" s="342"/>
      <c r="P22" s="161"/>
      <c r="Q22" s="161"/>
      <c r="R22" s="161"/>
      <c r="S22" s="161"/>
    </row>
    <row r="23" spans="1:19" ht="10.5" customHeight="1">
      <c r="A23" s="321" t="s">
        <v>291</v>
      </c>
      <c r="B23" s="320"/>
      <c r="C23" s="320"/>
      <c r="D23" s="324">
        <v>20</v>
      </c>
      <c r="E23" s="325" t="s">
        <v>292</v>
      </c>
      <c r="F23" s="349"/>
      <c r="G23" s="349"/>
      <c r="H23" s="333"/>
      <c r="I23" s="320"/>
      <c r="J23" s="161"/>
      <c r="K23" s="161"/>
      <c r="O23" s="342"/>
      <c r="P23" s="161"/>
      <c r="Q23" s="161"/>
      <c r="R23" s="161"/>
      <c r="S23" s="161"/>
    </row>
    <row r="24" spans="1:19" ht="10.5" customHeight="1">
      <c r="A24" s="321" t="s">
        <v>293</v>
      </c>
      <c r="B24" s="320"/>
      <c r="C24" s="320"/>
      <c r="D24" s="324">
        <f>(D20*(D23*10/5))/1000</f>
        <v>19.634954084936208</v>
      </c>
      <c r="E24" s="325" t="s">
        <v>294</v>
      </c>
      <c r="F24" s="349"/>
      <c r="G24" s="349"/>
      <c r="H24" s="333"/>
      <c r="I24" s="320"/>
      <c r="J24" s="161"/>
      <c r="K24" s="161"/>
      <c r="O24" s="342"/>
      <c r="P24" s="161"/>
      <c r="Q24" s="161"/>
      <c r="R24" s="161"/>
      <c r="S24" s="161"/>
    </row>
    <row r="25" spans="1:19" ht="10.5" customHeight="1">
      <c r="A25" s="320"/>
      <c r="B25" s="320"/>
      <c r="C25" s="320"/>
      <c r="D25" s="320"/>
      <c r="E25" s="320"/>
      <c r="F25" s="320"/>
      <c r="G25" s="320"/>
      <c r="H25" s="327"/>
      <c r="I25" s="320"/>
      <c r="J25" s="161"/>
      <c r="K25" s="161"/>
      <c r="O25" s="342"/>
      <c r="P25" s="161"/>
      <c r="Q25" s="161"/>
      <c r="R25" s="161"/>
      <c r="S25" s="161"/>
    </row>
    <row r="26" spans="1:19" ht="10.5" customHeight="1">
      <c r="A26" s="397" t="s">
        <v>299</v>
      </c>
      <c r="B26" s="398"/>
      <c r="C26" s="399"/>
      <c r="D26" s="397" t="s">
        <v>303</v>
      </c>
      <c r="E26" s="398"/>
      <c r="F26" s="399"/>
      <c r="G26" s="397" t="s">
        <v>305</v>
      </c>
      <c r="H26" s="398"/>
      <c r="I26" s="399"/>
      <c r="J26" s="161"/>
      <c r="K26" s="161"/>
      <c r="O26" s="342"/>
      <c r="P26" s="161"/>
      <c r="Q26" s="161"/>
      <c r="R26" s="161"/>
      <c r="S26" s="161"/>
    </row>
    <row r="27" spans="1:19" ht="10.5" customHeight="1">
      <c r="A27" s="332" t="s">
        <v>296</v>
      </c>
      <c r="B27" s="333" t="s">
        <v>301</v>
      </c>
      <c r="C27" s="337" t="s">
        <v>302</v>
      </c>
      <c r="D27" s="332" t="s">
        <v>295</v>
      </c>
      <c r="E27" s="334"/>
      <c r="F27" s="338" t="s">
        <v>304</v>
      </c>
      <c r="G27" s="332" t="s">
        <v>306</v>
      </c>
      <c r="H27" s="333" t="s">
        <v>308</v>
      </c>
      <c r="I27" s="338" t="s">
        <v>309</v>
      </c>
      <c r="J27" s="161"/>
      <c r="K27" s="161"/>
      <c r="O27" s="342"/>
      <c r="P27" s="161"/>
      <c r="Q27" s="161"/>
      <c r="R27" s="161"/>
      <c r="S27" s="161"/>
    </row>
    <row r="28" spans="1:19" ht="10.5" customHeight="1">
      <c r="A28" s="340" t="s">
        <v>300</v>
      </c>
      <c r="B28" s="341" t="s">
        <v>300</v>
      </c>
      <c r="C28" s="339" t="s">
        <v>300</v>
      </c>
      <c r="D28" s="350"/>
      <c r="E28" s="351"/>
      <c r="F28" s="352"/>
      <c r="G28" s="340" t="s">
        <v>307</v>
      </c>
      <c r="H28" s="341" t="s">
        <v>307</v>
      </c>
      <c r="I28" s="339" t="s">
        <v>307</v>
      </c>
      <c r="J28" s="161"/>
      <c r="K28" s="161"/>
      <c r="O28" s="342"/>
      <c r="P28" s="161"/>
      <c r="Q28" s="161"/>
      <c r="R28" s="161"/>
      <c r="S28" s="161"/>
    </row>
    <row r="29" spans="1:19" ht="10.5" customHeight="1">
      <c r="A29" s="363">
        <v>0</v>
      </c>
      <c r="B29" s="348">
        <f>D9</f>
        <v>100</v>
      </c>
      <c r="C29" s="338"/>
      <c r="D29" s="358"/>
      <c r="E29" s="359"/>
      <c r="F29" s="360"/>
      <c r="G29" s="358"/>
      <c r="H29" s="359"/>
      <c r="I29" s="360"/>
      <c r="J29" s="161"/>
      <c r="K29" s="161"/>
      <c r="O29" s="342"/>
      <c r="P29" s="161"/>
      <c r="Q29" s="161"/>
      <c r="R29" s="161"/>
      <c r="S29" s="161"/>
    </row>
    <row r="30" spans="1:19" ht="10.5" customHeight="1">
      <c r="A30" s="364">
        <v>1</v>
      </c>
      <c r="B30" s="336">
        <f>B29-1</f>
        <v>99</v>
      </c>
      <c r="C30" s="338">
        <f>IF($D$12-B30&lt;0,0,1)+C29</f>
        <v>1</v>
      </c>
      <c r="D30" s="353" t="str">
        <f>VLOOKUP('Dados de Entrada'!D3,solo,2,FALSE)</f>
        <v>Argila arenosa</v>
      </c>
      <c r="E30" s="334"/>
      <c r="F30" s="338">
        <f>'Dados de Entrada'!B3</f>
        <v>5</v>
      </c>
      <c r="G30" s="335">
        <f>'Décourt-Quaresma'!G12/10</f>
        <v>0</v>
      </c>
      <c r="H30" s="362">
        <f>'Décourt-Quaresma'!E12/10</f>
        <v>1.767145867644259</v>
      </c>
      <c r="I30" s="361">
        <f>'Décourt-Quaresma'!I12/10</f>
        <v>0.44178646691106477</v>
      </c>
      <c r="J30" s="161"/>
      <c r="K30" s="161"/>
      <c r="L30" s="347"/>
      <c r="M30" s="347"/>
      <c r="O30" s="342"/>
      <c r="P30" s="161"/>
      <c r="Q30" s="161"/>
      <c r="R30" s="161"/>
      <c r="S30" s="161"/>
    </row>
    <row r="31" spans="1:19" ht="10.5" customHeight="1">
      <c r="A31" s="364">
        <v>2</v>
      </c>
      <c r="B31" s="336">
        <f aca="true" t="shared" si="0" ref="B31:B54">B30-1</f>
        <v>98</v>
      </c>
      <c r="C31" s="338">
        <f aca="true" t="shared" si="1" ref="C31:C54">IF($D$12-B31&lt;0,0,1)+C30</f>
        <v>2</v>
      </c>
      <c r="D31" s="353" t="str">
        <f>VLOOKUP('Dados de Entrada'!D4,solo,2,FALSE)</f>
        <v>Argila arenosa</v>
      </c>
      <c r="E31" s="334"/>
      <c r="F31" s="338">
        <f>'Dados de Entrada'!B4</f>
        <v>5</v>
      </c>
      <c r="G31" s="335">
        <f>'Décourt-Quaresma'!G13/10</f>
        <v>0</v>
      </c>
      <c r="H31" s="362">
        <f>'Décourt-Quaresma'!E13/10</f>
        <v>1.6493361431346414</v>
      </c>
      <c r="I31" s="361">
        <f>'Décourt-Quaresma'!I13/10</f>
        <v>0.41233403578366035</v>
      </c>
      <c r="J31" s="161"/>
      <c r="K31" s="161"/>
      <c r="L31" s="296"/>
      <c r="M31" s="296"/>
      <c r="O31" s="161"/>
      <c r="P31" s="161"/>
      <c r="Q31" s="161"/>
      <c r="R31" s="161"/>
      <c r="S31" s="161"/>
    </row>
    <row r="32" spans="1:19" ht="10.5" customHeight="1">
      <c r="A32" s="364">
        <v>3</v>
      </c>
      <c r="B32" s="336">
        <f t="shared" si="0"/>
        <v>97</v>
      </c>
      <c r="C32" s="338">
        <f t="shared" si="1"/>
        <v>3</v>
      </c>
      <c r="D32" s="353" t="str">
        <f>VLOOKUP('Dados de Entrada'!D5,solo,2,FALSE)</f>
        <v>Argila arenosa</v>
      </c>
      <c r="E32" s="334"/>
      <c r="F32" s="338">
        <f>'Dados de Entrada'!B5</f>
        <v>4</v>
      </c>
      <c r="G32" s="335">
        <f>'Décourt-Quaresma'!G14/10</f>
        <v>1.3046336158657614</v>
      </c>
      <c r="H32" s="362">
        <f>'Décourt-Quaresma'!E14/10</f>
        <v>1.767145867644259</v>
      </c>
      <c r="I32" s="361">
        <f>'Décourt-Quaresma'!I14/10</f>
        <v>1.4453507868078042</v>
      </c>
      <c r="J32" s="161"/>
      <c r="K32" s="161"/>
      <c r="L32" s="296"/>
      <c r="M32" s="296"/>
      <c r="O32" s="161"/>
      <c r="P32" s="161"/>
      <c r="Q32" s="161"/>
      <c r="R32" s="161"/>
      <c r="S32" s="161"/>
    </row>
    <row r="33" spans="1:19" ht="10.5" customHeight="1">
      <c r="A33" s="364">
        <v>4</v>
      </c>
      <c r="B33" s="336">
        <f t="shared" si="0"/>
        <v>96</v>
      </c>
      <c r="C33" s="338">
        <f t="shared" si="1"/>
        <v>4</v>
      </c>
      <c r="D33" s="353" t="str">
        <f>VLOOKUP('Dados de Entrada'!D6,solo,2,FALSE)</f>
        <v>Argila arenosa</v>
      </c>
      <c r="E33" s="334"/>
      <c r="F33" s="338">
        <f>'Dados de Entrada'!B6</f>
        <v>6</v>
      </c>
      <c r="G33" s="335">
        <f>'Décourt-Quaresma'!G15/10</f>
        <v>2.6659904324213386</v>
      </c>
      <c r="H33" s="362">
        <f>'Décourt-Quaresma'!E15/10</f>
        <v>2.356194490192345</v>
      </c>
      <c r="I33" s="361">
        <f>'Décourt-Quaresma'!I15/10</f>
        <v>2.511092461306842</v>
      </c>
      <c r="J33" s="161"/>
      <c r="K33" s="161"/>
      <c r="L33" s="315"/>
      <c r="M33" s="315"/>
      <c r="N33" s="161"/>
      <c r="O33" s="161"/>
      <c r="P33" s="161"/>
      <c r="Q33" s="161"/>
      <c r="R33" s="161"/>
      <c r="S33" s="161"/>
    </row>
    <row r="34" spans="1:19" ht="10.5" customHeight="1">
      <c r="A34" s="364">
        <v>5</v>
      </c>
      <c r="B34" s="336">
        <f t="shared" si="0"/>
        <v>95</v>
      </c>
      <c r="C34" s="338">
        <f t="shared" si="1"/>
        <v>5</v>
      </c>
      <c r="D34" s="353" t="str">
        <f>VLOOKUP('Dados de Entrada'!D7,solo,2,FALSE)</f>
        <v>Argila arenosa</v>
      </c>
      <c r="E34" s="334"/>
      <c r="F34" s="338">
        <f>'Dados de Entrada'!B7</f>
        <v>10</v>
      </c>
      <c r="G34" s="335">
        <f>'Décourt-Quaresma'!G16/10</f>
        <v>4.1975168510463625</v>
      </c>
      <c r="H34" s="362">
        <f>'Décourt-Quaresma'!E16/10</f>
        <v>2.9452431127404313</v>
      </c>
      <c r="I34" s="361">
        <f>'Décourt-Quaresma'!I16/10</f>
        <v>3.571379981893397</v>
      </c>
      <c r="J34" s="161"/>
      <c r="K34" s="161"/>
      <c r="L34" s="311"/>
      <c r="M34" s="311"/>
      <c r="N34" s="161"/>
      <c r="O34" s="161"/>
      <c r="P34" s="161"/>
      <c r="Q34" s="161"/>
      <c r="R34" s="161"/>
      <c r="S34" s="161"/>
    </row>
    <row r="35" spans="1:19" ht="10.5" customHeight="1">
      <c r="A35" s="364">
        <v>6</v>
      </c>
      <c r="B35" s="336">
        <f t="shared" si="0"/>
        <v>94</v>
      </c>
      <c r="C35" s="338">
        <f t="shared" si="1"/>
        <v>6</v>
      </c>
      <c r="D35" s="353" t="str">
        <f>VLOOKUP('Dados de Entrada'!D8,solo,2,FALSE)</f>
        <v>Argila arenosa</v>
      </c>
      <c r="E35" s="334"/>
      <c r="F35" s="338">
        <f>'Dados de Entrada'!B8</f>
        <v>9</v>
      </c>
      <c r="G35" s="335">
        <f>'Décourt-Quaresma'!G17/10</f>
        <v>5.81412807070611</v>
      </c>
      <c r="H35" s="362">
        <f>'Décourt-Quaresma'!E17/10</f>
        <v>3.887720908817369</v>
      </c>
      <c r="I35" s="361">
        <f>'Décourt-Quaresma'!I17/10</f>
        <v>4.85092448976174</v>
      </c>
      <c r="J35" s="161"/>
      <c r="K35" s="161"/>
      <c r="L35" s="311"/>
      <c r="M35" s="311"/>
      <c r="N35" s="161"/>
      <c r="O35" s="161"/>
      <c r="P35" s="161"/>
      <c r="Q35" s="161"/>
      <c r="R35" s="161"/>
      <c r="S35" s="161"/>
    </row>
    <row r="36" spans="1:19" ht="10.5" customHeight="1">
      <c r="A36" s="364">
        <v>7</v>
      </c>
      <c r="B36" s="336">
        <f t="shared" si="0"/>
        <v>93</v>
      </c>
      <c r="C36" s="338">
        <f t="shared" si="1"/>
        <v>7</v>
      </c>
      <c r="D36" s="353" t="str">
        <f>VLOOKUP('Dados de Entrada'!D9,solo,2,FALSE)</f>
        <v>Argila arenosa</v>
      </c>
      <c r="E36" s="334"/>
      <c r="F36" s="338">
        <f>'Dados de Entrada'!B9</f>
        <v>14</v>
      </c>
      <c r="G36" s="335">
        <f>'Décourt-Quaresma'!G18/10</f>
        <v>7.6130638640116945</v>
      </c>
      <c r="H36" s="362">
        <f>'Décourt-Quaresma'!E18/10</f>
        <v>4.123340357836605</v>
      </c>
      <c r="I36" s="361">
        <f>'Décourt-Quaresma'!I18/10</f>
        <v>5.868202110924149</v>
      </c>
      <c r="J36" s="161"/>
      <c r="K36" s="161"/>
      <c r="L36" s="311"/>
      <c r="M36" s="311"/>
      <c r="N36" s="161"/>
      <c r="O36" s="161"/>
      <c r="P36" s="161"/>
      <c r="Q36" s="161"/>
      <c r="R36" s="161"/>
      <c r="S36" s="161"/>
    </row>
    <row r="37" spans="1:19" ht="10.5" customHeight="1">
      <c r="A37" s="364">
        <v>8</v>
      </c>
      <c r="B37" s="336">
        <f t="shared" si="0"/>
        <v>92</v>
      </c>
      <c r="C37" s="338">
        <f t="shared" si="1"/>
        <v>8</v>
      </c>
      <c r="D37" s="353" t="str">
        <f>VLOOKUP('Dados de Entrada'!D10,solo,2,FALSE)</f>
        <v>Argila arenosa</v>
      </c>
      <c r="E37" s="334"/>
      <c r="F37" s="338">
        <f>'Dados de Entrada'!B10</f>
        <v>12</v>
      </c>
      <c r="G37" s="335">
        <f>'Décourt-Quaresma'!G19/10</f>
        <v>9.506200687034294</v>
      </c>
      <c r="H37" s="362">
        <f>'Décourt-Quaresma'!E19/10</f>
        <v>4.830198704894308</v>
      </c>
      <c r="I37" s="361">
        <f>'Décourt-Quaresma'!I19/10</f>
        <v>7.168199695964302</v>
      </c>
      <c r="J37" s="161"/>
      <c r="K37" s="161"/>
      <c r="L37" s="311"/>
      <c r="M37" s="311"/>
      <c r="N37" s="161"/>
      <c r="O37" s="161"/>
      <c r="P37" s="161"/>
      <c r="Q37" s="161"/>
      <c r="R37" s="161"/>
      <c r="S37" s="161"/>
    </row>
    <row r="38" spans="1:19" ht="10.5" customHeight="1">
      <c r="A38" s="364">
        <v>9</v>
      </c>
      <c r="B38" s="336">
        <f t="shared" si="0"/>
        <v>91</v>
      </c>
      <c r="C38" s="338">
        <f t="shared" si="1"/>
        <v>9</v>
      </c>
      <c r="D38" s="353" t="str">
        <f>VLOOKUP('Dados de Entrada'!D11,solo,2,FALSE)</f>
        <v>Argila arenosa</v>
      </c>
      <c r="E38" s="334"/>
      <c r="F38" s="338">
        <f>'Dados de Entrada'!B11</f>
        <v>15</v>
      </c>
      <c r="G38" s="335">
        <f>'Décourt-Quaresma'!G20/10</f>
        <v>11.529328178304388</v>
      </c>
      <c r="H38" s="362">
        <f>'Décourt-Quaresma'!E20/10</f>
        <v>4.5945792558750735</v>
      </c>
      <c r="I38" s="361">
        <f>'Décourt-Quaresma'!I20/10</f>
        <v>8.06195371708973</v>
      </c>
      <c r="J38" s="161"/>
      <c r="K38" s="161"/>
      <c r="L38" s="311"/>
      <c r="M38" s="311"/>
      <c r="N38" s="161"/>
      <c r="O38" s="161"/>
      <c r="P38" s="161"/>
      <c r="Q38" s="161"/>
      <c r="R38" s="161"/>
      <c r="S38" s="161"/>
    </row>
    <row r="39" spans="1:19" ht="10.5" customHeight="1">
      <c r="A39" s="364">
        <v>10</v>
      </c>
      <c r="B39" s="336">
        <f t="shared" si="0"/>
        <v>90</v>
      </c>
      <c r="C39" s="338">
        <f t="shared" si="1"/>
        <v>10</v>
      </c>
      <c r="D39" s="353" t="str">
        <f>VLOOKUP('Dados de Entrada'!D12,solo,2,FALSE)</f>
        <v>Argila arenosa</v>
      </c>
      <c r="E39" s="334"/>
      <c r="F39" s="338">
        <f>'Dados de Entrada'!B12</f>
        <v>12</v>
      </c>
      <c r="G39" s="335">
        <f>'Décourt-Quaresma'!G21/10</f>
        <v>13.605397323551642</v>
      </c>
      <c r="H39" s="362">
        <f>'Décourt-Quaresma'!E21/10</f>
        <v>5.3014376029327765</v>
      </c>
      <c r="I39" s="361">
        <f>'Décourt-Quaresma'!I21/10</f>
        <v>9.453417463242209</v>
      </c>
      <c r="J39" s="161"/>
      <c r="K39" s="161"/>
      <c r="L39" s="311"/>
      <c r="M39" s="311"/>
      <c r="N39" s="161"/>
      <c r="O39" s="161"/>
      <c r="P39" s="161"/>
      <c r="Q39" s="161"/>
      <c r="R39" s="161"/>
      <c r="S39" s="161"/>
    </row>
    <row r="40" spans="1:19" ht="10.5" customHeight="1">
      <c r="A40" s="364">
        <v>11</v>
      </c>
      <c r="B40" s="336">
        <f t="shared" si="0"/>
        <v>89</v>
      </c>
      <c r="C40" s="338">
        <f t="shared" si="1"/>
        <v>11</v>
      </c>
      <c r="D40" s="353" t="str">
        <f>VLOOKUP('Dados de Entrada'!D13,solo,2,FALSE)</f>
        <v>Argila arenosa</v>
      </c>
      <c r="E40" s="334"/>
      <c r="F40" s="338">
        <f>'Dados de Entrada'!B13</f>
        <v>18</v>
      </c>
      <c r="G40" s="335">
        <f>'Décourt-Quaresma'!G22/10</f>
        <v>15.77119225898097</v>
      </c>
      <c r="H40" s="362">
        <f>'Décourt-Quaresma'!E22/10</f>
        <v>5.8904862254808625</v>
      </c>
      <c r="I40" s="361">
        <f>'Décourt-Quaresma'!I22/10</f>
        <v>10.830839242230915</v>
      </c>
      <c r="J40" s="161"/>
      <c r="K40" s="161"/>
      <c r="L40" s="311"/>
      <c r="M40" s="311"/>
      <c r="N40" s="161"/>
      <c r="O40" s="161"/>
      <c r="P40" s="161"/>
      <c r="Q40" s="161"/>
      <c r="R40" s="161"/>
      <c r="S40" s="161"/>
    </row>
    <row r="41" spans="1:19" ht="10.5" customHeight="1">
      <c r="A41" s="364">
        <v>12</v>
      </c>
      <c r="B41" s="336">
        <f t="shared" si="0"/>
        <v>88</v>
      </c>
      <c r="C41" s="338">
        <f t="shared" si="1"/>
        <v>12</v>
      </c>
      <c r="D41" s="353" t="str">
        <f>VLOOKUP('Dados de Entrada'!D14,solo,2,FALSE)</f>
        <v>Argila arenosa</v>
      </c>
      <c r="E41" s="334"/>
      <c r="F41" s="338">
        <f>'Dados de Entrada'!B14</f>
        <v>20</v>
      </c>
      <c r="G41" s="335">
        <f>'Décourt-Quaresma'!G23/10</f>
        <v>18.01175868622869</v>
      </c>
      <c r="H41" s="362">
        <f>'Décourt-Quaresma'!E23/10</f>
        <v>7.539822368615505</v>
      </c>
      <c r="I41" s="361">
        <f>'Décourt-Quaresma'!I23/10</f>
        <v>12.775790527422098</v>
      </c>
      <c r="J41" s="161"/>
      <c r="K41" s="161"/>
      <c r="L41" s="311"/>
      <c r="M41" s="311"/>
      <c r="N41" s="161"/>
      <c r="O41" s="161"/>
      <c r="P41" s="161"/>
      <c r="Q41" s="161"/>
      <c r="R41" s="161"/>
      <c r="S41" s="161"/>
    </row>
    <row r="42" spans="1:19" ht="10.5" customHeight="1">
      <c r="A42" s="364">
        <v>13</v>
      </c>
      <c r="B42" s="336">
        <f t="shared" si="0"/>
        <v>87</v>
      </c>
      <c r="C42" s="338">
        <f t="shared" si="1"/>
        <v>13</v>
      </c>
      <c r="D42" s="353" t="str">
        <f>VLOOKUP('Dados de Entrada'!D15,solo,2,FALSE)</f>
        <v>Argila arenosa</v>
      </c>
      <c r="E42" s="334"/>
      <c r="F42" s="338">
        <f>'Dados de Entrada'!B15</f>
        <v>26</v>
      </c>
      <c r="G42" s="335">
        <f>'Décourt-Quaresma'!G24/10</f>
        <v>20.315593298861202</v>
      </c>
      <c r="H42" s="362">
        <f>'Décourt-Quaresma'!E24/10</f>
        <v>9.306968236259763</v>
      </c>
      <c r="I42" s="361">
        <f>'Décourt-Quaresma'!I24/10</f>
        <v>14.811280767560481</v>
      </c>
      <c r="J42" s="161"/>
      <c r="K42" s="161"/>
      <c r="L42" s="311"/>
      <c r="M42" s="311"/>
      <c r="N42" s="161"/>
      <c r="O42" s="161"/>
      <c r="P42" s="161"/>
      <c r="Q42" s="161"/>
      <c r="R42" s="161"/>
      <c r="S42" s="161"/>
    </row>
    <row r="43" spans="1:19" ht="10.5" customHeight="1">
      <c r="A43" s="364">
        <v>14</v>
      </c>
      <c r="B43" s="336">
        <f t="shared" si="0"/>
        <v>86</v>
      </c>
      <c r="C43" s="338">
        <f t="shared" si="1"/>
        <v>14</v>
      </c>
      <c r="D43" s="353" t="str">
        <f>VLOOKUP('Dados de Entrada'!D16,solo,2,FALSE)</f>
        <v>Argila arenosa</v>
      </c>
      <c r="E43" s="334"/>
      <c r="F43" s="338">
        <f>'Dados de Entrada'!B16</f>
        <v>33</v>
      </c>
      <c r="G43" s="335">
        <f>'Décourt-Quaresma'!G25/10</f>
        <v>22.67365778468068</v>
      </c>
      <c r="H43" s="362">
        <f>'Décourt-Quaresma'!E25/10</f>
        <v>12.252211349000195</v>
      </c>
      <c r="I43" s="361">
        <f>'Décourt-Quaresma'!I25/10</f>
        <v>17.46293456684044</v>
      </c>
      <c r="J43" s="161"/>
      <c r="K43" s="161"/>
      <c r="L43" s="311"/>
      <c r="M43" s="311"/>
      <c r="N43" s="161"/>
      <c r="O43" s="161"/>
      <c r="P43" s="161"/>
      <c r="Q43" s="161"/>
      <c r="R43" s="161"/>
      <c r="S43" s="161"/>
    </row>
    <row r="44" spans="1:19" ht="10.5" customHeight="1">
      <c r="A44" s="364">
        <v>15</v>
      </c>
      <c r="B44" s="336">
        <f t="shared" si="0"/>
        <v>85</v>
      </c>
      <c r="C44" s="338">
        <f>IF($D$12-B44&lt;0,0,1)+C43</f>
        <v>15</v>
      </c>
      <c r="D44" s="353" t="str">
        <f>VLOOKUP('Dados de Entrada'!D17,solo,2,FALSE)</f>
        <v>Argila arenosa</v>
      </c>
      <c r="E44" s="334"/>
      <c r="F44" s="338">
        <f>'Dados de Entrada'!B17</f>
        <v>45</v>
      </c>
      <c r="G44" s="335">
        <f>'Décourt-Quaresma'!G26/10</f>
        <v>25.078721493928867</v>
      </c>
      <c r="H44" s="362">
        <f>'Décourt-Quaresma'!E26/10</f>
        <v>9.896016858807851</v>
      </c>
      <c r="I44" s="361">
        <f>'Décourt-Quaresma'!I26/10</f>
        <v>17.487369176368357</v>
      </c>
      <c r="J44" s="161"/>
      <c r="K44" s="161"/>
      <c r="L44" s="311"/>
      <c r="M44" s="311"/>
      <c r="N44" s="161"/>
      <c r="O44" s="161"/>
      <c r="P44" s="161"/>
      <c r="Q44" s="161"/>
      <c r="R44" s="161"/>
      <c r="S44" s="161"/>
    </row>
    <row r="45" spans="1:19" ht="10.5" customHeight="1">
      <c r="A45" s="364">
        <v>16</v>
      </c>
      <c r="B45" s="336">
        <f t="shared" si="0"/>
        <v>84</v>
      </c>
      <c r="C45" s="338">
        <f t="shared" si="1"/>
        <v>16</v>
      </c>
      <c r="D45" s="353" t="str">
        <f>VLOOKUP('Dados de Entrada'!D18,solo,2,FALSE)</f>
        <v>Argila arenosa</v>
      </c>
      <c r="E45" s="334"/>
      <c r="F45" s="338">
        <f>'Dados de Entrada'!B18</f>
        <v>6</v>
      </c>
      <c r="G45" s="335" t="e">
        <f>'Décourt-Quaresma'!G27/10</f>
        <v>#VALUE!</v>
      </c>
      <c r="H45" s="362" t="e">
        <f>'Décourt-Quaresma'!E27/10</f>
        <v>#VALUE!</v>
      </c>
      <c r="I45" s="361" t="e">
        <f>'Décourt-Quaresma'!I27/10</f>
        <v>#VALUE!</v>
      </c>
      <c r="J45" s="161"/>
      <c r="K45" s="161"/>
      <c r="L45" s="311"/>
      <c r="M45" s="311"/>
      <c r="N45" s="161"/>
      <c r="O45" s="161"/>
      <c r="P45" s="161"/>
      <c r="Q45" s="161"/>
      <c r="R45" s="161"/>
      <c r="S45" s="161"/>
    </row>
    <row r="46" spans="1:19" ht="10.5" customHeight="1">
      <c r="A46" s="364">
        <v>17</v>
      </c>
      <c r="B46" s="336">
        <f t="shared" si="0"/>
        <v>83</v>
      </c>
      <c r="C46" s="338">
        <f t="shared" si="1"/>
        <v>17</v>
      </c>
      <c r="D46" s="353" t="str">
        <f>VLOOKUP('Dados de Entrada'!D19,solo,2,FALSE)</f>
        <v>Argila arenosa</v>
      </c>
      <c r="E46" s="334"/>
      <c r="F46" s="338">
        <f>'Dados de Entrada'!B19</f>
        <v>12</v>
      </c>
      <c r="G46" s="335" t="e">
        <f>'Décourt-Quaresma'!G28/10</f>
        <v>#VALUE!</v>
      </c>
      <c r="H46" s="362" t="e">
        <f>'Décourt-Quaresma'!E28/10</f>
        <v>#VALUE!</v>
      </c>
      <c r="I46" s="361" t="e">
        <f>'Décourt-Quaresma'!I28/10</f>
        <v>#VALUE!</v>
      </c>
      <c r="J46" s="161"/>
      <c r="K46" s="161"/>
      <c r="L46" s="311"/>
      <c r="M46" s="311"/>
      <c r="N46" s="161"/>
      <c r="O46" s="161"/>
      <c r="P46" s="161"/>
      <c r="Q46" s="161"/>
      <c r="R46" s="161"/>
      <c r="S46" s="161"/>
    </row>
    <row r="47" spans="1:19" ht="10.5" customHeight="1">
      <c r="A47" s="364">
        <v>18</v>
      </c>
      <c r="B47" s="336">
        <f t="shared" si="0"/>
        <v>82</v>
      </c>
      <c r="C47" s="338">
        <f t="shared" si="1"/>
        <v>18</v>
      </c>
      <c r="D47" s="353" t="str">
        <f>VLOOKUP('Dados de Entrada'!D20,solo,2,FALSE)</f>
        <v>Argila arenosa</v>
      </c>
      <c r="E47" s="334"/>
      <c r="F47" s="338">
        <f>'Dados de Entrada'!B20</f>
        <v>23</v>
      </c>
      <c r="G47" s="335" t="e">
        <f>'Décourt-Quaresma'!G29/10</f>
        <v>#VALUE!</v>
      </c>
      <c r="H47" s="362" t="e">
        <f>'Décourt-Quaresma'!E29/10</f>
        <v>#VALUE!</v>
      </c>
      <c r="I47" s="361" t="e">
        <f>'Décourt-Quaresma'!I29/10</f>
        <v>#VALUE!</v>
      </c>
      <c r="J47" s="161"/>
      <c r="K47" s="161"/>
      <c r="L47" s="311"/>
      <c r="M47" s="311"/>
      <c r="N47" s="161"/>
      <c r="O47" s="161"/>
      <c r="P47" s="161"/>
      <c r="Q47" s="161"/>
      <c r="R47" s="161"/>
      <c r="S47" s="161"/>
    </row>
    <row r="48" spans="1:19" ht="10.5" customHeight="1">
      <c r="A48" s="364">
        <v>19</v>
      </c>
      <c r="B48" s="336">
        <f t="shared" si="0"/>
        <v>81</v>
      </c>
      <c r="C48" s="338">
        <f t="shared" si="1"/>
        <v>19</v>
      </c>
      <c r="D48" s="353" t="str">
        <f>VLOOKUP('Dados de Entrada'!D21,solo,2,FALSE)</f>
        <v>Argila arenosa</v>
      </c>
      <c r="E48" s="334"/>
      <c r="F48" s="338">
        <f>'Dados de Entrada'!B21</f>
        <v>23</v>
      </c>
      <c r="G48" s="335" t="e">
        <f>'Décourt-Quaresma'!G30/10</f>
        <v>#VALUE!</v>
      </c>
      <c r="H48" s="362" t="e">
        <f>'Décourt-Quaresma'!E30/10</f>
        <v>#VALUE!</v>
      </c>
      <c r="I48" s="361" t="e">
        <f>'Décourt-Quaresma'!I30/10</f>
        <v>#VALUE!</v>
      </c>
      <c r="J48" s="161"/>
      <c r="K48" s="161"/>
      <c r="L48" s="311"/>
      <c r="M48" s="311"/>
      <c r="N48" s="161"/>
      <c r="O48" s="161"/>
      <c r="P48" s="161"/>
      <c r="Q48" s="161"/>
      <c r="R48" s="161"/>
      <c r="S48" s="161"/>
    </row>
    <row r="49" spans="1:19" ht="10.5" customHeight="1">
      <c r="A49" s="364">
        <v>20</v>
      </c>
      <c r="B49" s="336">
        <f t="shared" si="0"/>
        <v>80</v>
      </c>
      <c r="C49" s="338">
        <f t="shared" si="1"/>
        <v>20</v>
      </c>
      <c r="D49" s="353" t="str">
        <f>VLOOKUP('Dados de Entrada'!D22,solo,2,FALSE)</f>
        <v>Argila arenosa</v>
      </c>
      <c r="E49" s="334"/>
      <c r="F49" s="338">
        <f>'Dados de Entrada'!B22</f>
        <v>41</v>
      </c>
      <c r="G49" s="335" t="e">
        <f>'Décourt-Quaresma'!G31/10</f>
        <v>#VALUE!</v>
      </c>
      <c r="H49" s="362" t="e">
        <f>'Décourt-Quaresma'!E31/10</f>
        <v>#VALUE!</v>
      </c>
      <c r="I49" s="361" t="e">
        <f>'Décourt-Quaresma'!I31/10</f>
        <v>#VALUE!</v>
      </c>
      <c r="J49" s="161"/>
      <c r="K49" s="161"/>
      <c r="L49" s="311"/>
      <c r="M49" s="311"/>
      <c r="N49" s="161"/>
      <c r="O49" s="161"/>
      <c r="P49" s="161"/>
      <c r="Q49" s="161"/>
      <c r="R49" s="161"/>
      <c r="S49" s="161"/>
    </row>
    <row r="50" spans="1:19" ht="10.5" customHeight="1">
      <c r="A50" s="364">
        <v>21</v>
      </c>
      <c r="B50" s="336">
        <f t="shared" si="0"/>
        <v>79</v>
      </c>
      <c r="C50" s="338">
        <f t="shared" si="1"/>
        <v>21</v>
      </c>
      <c r="D50" s="353" t="str">
        <f>VLOOKUP('Dados de Entrada'!D23,solo,2,FALSE)</f>
        <v>Argila arenosa</v>
      </c>
      <c r="E50" s="334"/>
      <c r="F50" s="338">
        <f>'Dados de Entrada'!B23</f>
        <v>45</v>
      </c>
      <c r="G50" s="335" t="e">
        <f>'Décourt-Quaresma'!G32/10</f>
        <v>#VALUE!</v>
      </c>
      <c r="H50" s="362" t="e">
        <f>'Décourt-Quaresma'!E32/10</f>
        <v>#VALUE!</v>
      </c>
      <c r="I50" s="361" t="e">
        <f>'Décourt-Quaresma'!I32/10</f>
        <v>#VALUE!</v>
      </c>
      <c r="J50" s="161"/>
      <c r="K50" s="161"/>
      <c r="L50" s="311"/>
      <c r="M50" s="311"/>
      <c r="N50" s="161"/>
      <c r="O50" s="161"/>
      <c r="P50" s="161"/>
      <c r="Q50" s="161"/>
      <c r="R50" s="161"/>
      <c r="S50" s="161"/>
    </row>
    <row r="51" spans="1:19" ht="10.5" customHeight="1">
      <c r="A51" s="364">
        <v>22</v>
      </c>
      <c r="B51" s="336">
        <f t="shared" si="0"/>
        <v>78</v>
      </c>
      <c r="C51" s="338">
        <f t="shared" si="1"/>
        <v>22</v>
      </c>
      <c r="D51" s="353" t="str">
        <f>VLOOKUP('Dados de Entrada'!D24,solo,2,FALSE)</f>
        <v>Argila arenosa</v>
      </c>
      <c r="E51" s="334"/>
      <c r="F51" s="338">
        <f>'Dados de Entrada'!B24</f>
        <v>42</v>
      </c>
      <c r="G51" s="335" t="e">
        <f>'Décourt-Quaresma'!G33/10</f>
        <v>#VALUE!</v>
      </c>
      <c r="H51" s="362" t="e">
        <f>'Décourt-Quaresma'!E33/10</f>
        <v>#VALUE!</v>
      </c>
      <c r="I51" s="361" t="e">
        <f>'Décourt-Quaresma'!I33/10</f>
        <v>#VALUE!</v>
      </c>
      <c r="J51" s="161"/>
      <c r="K51" s="161"/>
      <c r="L51" s="311"/>
      <c r="M51" s="311"/>
      <c r="N51" s="161"/>
      <c r="O51" s="161"/>
      <c r="P51" s="161"/>
      <c r="Q51" s="161"/>
      <c r="R51" s="161"/>
      <c r="S51" s="161"/>
    </row>
    <row r="52" spans="1:19" ht="10.5" customHeight="1">
      <c r="A52" s="364">
        <v>23</v>
      </c>
      <c r="B52" s="336">
        <f t="shared" si="0"/>
        <v>77</v>
      </c>
      <c r="C52" s="338">
        <f t="shared" si="1"/>
        <v>23</v>
      </c>
      <c r="D52" s="353" t="str">
        <f>VLOOKUP('Dados de Entrada'!D25,solo,2,FALSE)</f>
        <v>Argila arenosa</v>
      </c>
      <c r="E52" s="334"/>
      <c r="F52" s="338">
        <f>'Dados de Entrada'!B25</f>
        <v>44</v>
      </c>
      <c r="G52" s="354" t="e">
        <f>'Décourt-Quaresma'!G34/10</f>
        <v>#VALUE!</v>
      </c>
      <c r="H52" s="336" t="e">
        <f>'Décourt-Quaresma'!E34/10</f>
        <v>#VALUE!</v>
      </c>
      <c r="I52" s="355" t="e">
        <f>'Décourt-Quaresma'!I34/10</f>
        <v>#VALUE!</v>
      </c>
      <c r="J52" s="161"/>
      <c r="K52" s="161"/>
      <c r="L52" s="311"/>
      <c r="M52" s="311"/>
      <c r="N52" s="161"/>
      <c r="O52" s="161"/>
      <c r="P52" s="161"/>
      <c r="Q52" s="161"/>
      <c r="R52" s="161"/>
      <c r="S52" s="161"/>
    </row>
    <row r="53" spans="1:19" ht="10.5" customHeight="1">
      <c r="A53" s="364">
        <v>24</v>
      </c>
      <c r="B53" s="336">
        <f t="shared" si="0"/>
        <v>76</v>
      </c>
      <c r="C53" s="338">
        <f t="shared" si="1"/>
        <v>24</v>
      </c>
      <c r="D53" s="353" t="e">
        <f>VLOOKUP('Dados de Entrada'!D26,solo,2,FALSE)</f>
        <v>#N/A</v>
      </c>
      <c r="E53" s="334"/>
      <c r="F53" s="338">
        <f>'Dados de Entrada'!B26</f>
        <v>0</v>
      </c>
      <c r="G53" s="354" t="e">
        <f>'Décourt-Quaresma'!G35/10</f>
        <v>#VALUE!</v>
      </c>
      <c r="H53" s="336" t="e">
        <f>'Décourt-Quaresma'!E35/10</f>
        <v>#VALUE!</v>
      </c>
      <c r="I53" s="355" t="e">
        <f>'Décourt-Quaresma'!I35/10</f>
        <v>#VALUE!</v>
      </c>
      <c r="J53" s="161"/>
      <c r="K53" s="161"/>
      <c r="L53" s="311"/>
      <c r="M53" s="311"/>
      <c r="N53" s="161"/>
      <c r="O53" s="161"/>
      <c r="P53" s="161"/>
      <c r="Q53" s="161"/>
      <c r="R53" s="161"/>
      <c r="S53" s="161"/>
    </row>
    <row r="54" spans="1:19" ht="10.5" customHeight="1">
      <c r="A54" s="364">
        <v>25</v>
      </c>
      <c r="B54" s="336">
        <f t="shared" si="0"/>
        <v>75</v>
      </c>
      <c r="C54" s="338">
        <f t="shared" si="1"/>
        <v>25</v>
      </c>
      <c r="D54" s="353" t="e">
        <f>VLOOKUP('Dados de Entrada'!D27,solo,2,FALSE)</f>
        <v>#N/A</v>
      </c>
      <c r="E54" s="334"/>
      <c r="F54" s="338">
        <f>'Dados de Entrada'!B27</f>
        <v>0</v>
      </c>
      <c r="G54" s="354" t="e">
        <f>'Décourt-Quaresma'!G36/10</f>
        <v>#VALUE!</v>
      </c>
      <c r="H54" s="336" t="e">
        <f>'Décourt-Quaresma'!E36/10</f>
        <v>#VALUE!</v>
      </c>
      <c r="I54" s="355" t="e">
        <f>'Décourt-Quaresma'!I36/10</f>
        <v>#VALUE!</v>
      </c>
      <c r="J54" s="161"/>
      <c r="K54" s="161"/>
      <c r="L54" s="311"/>
      <c r="M54" s="311"/>
      <c r="N54" s="161"/>
      <c r="O54" s="161"/>
      <c r="P54" s="161"/>
      <c r="Q54" s="161"/>
      <c r="R54" s="161"/>
      <c r="S54" s="161"/>
    </row>
    <row r="55" spans="1:19" ht="10.5" customHeight="1">
      <c r="A55" s="325"/>
      <c r="B55" s="325"/>
      <c r="C55" s="325"/>
      <c r="D55" s="353" t="e">
        <f>VLOOKUP('Dados de Entrada'!D28,solo,2,FALSE)</f>
        <v>#N/A</v>
      </c>
      <c r="E55" s="334"/>
      <c r="F55" s="338">
        <f>'Dados de Entrada'!B28</f>
        <v>0</v>
      </c>
      <c r="G55" s="354" t="e">
        <f>'Décourt-Quaresma'!G37/10</f>
        <v>#VALUE!</v>
      </c>
      <c r="H55" s="336" t="e">
        <f>'Décourt-Quaresma'!E37/10</f>
        <v>#VALUE!</v>
      </c>
      <c r="I55" s="355" t="e">
        <f>'Décourt-Quaresma'!I37/10</f>
        <v>#VALUE!</v>
      </c>
      <c r="J55" s="161"/>
      <c r="K55" s="161"/>
      <c r="L55" s="161"/>
      <c r="M55" s="161"/>
      <c r="N55" s="161"/>
      <c r="O55" s="161"/>
      <c r="P55" s="161"/>
      <c r="Q55" s="161"/>
      <c r="R55" s="161"/>
      <c r="S55" s="161"/>
    </row>
    <row r="56" spans="1:19" ht="10.5" customHeight="1">
      <c r="A56" s="325"/>
      <c r="B56" s="325"/>
      <c r="C56" s="325"/>
      <c r="D56" s="325"/>
      <c r="E56" s="325"/>
      <c r="F56" s="325"/>
      <c r="G56" s="325"/>
      <c r="H56" s="325"/>
      <c r="I56" s="325"/>
      <c r="J56" s="161"/>
      <c r="K56" s="161"/>
      <c r="L56" s="161"/>
      <c r="M56" s="161"/>
      <c r="N56" s="161"/>
      <c r="O56" s="161"/>
      <c r="P56" s="161"/>
      <c r="Q56" s="161"/>
      <c r="R56" s="161"/>
      <c r="S56" s="161"/>
    </row>
    <row r="57" spans="1:19" ht="10.5" customHeight="1">
      <c r="A57" s="325"/>
      <c r="B57" s="325"/>
      <c r="C57" s="325"/>
      <c r="D57" s="325"/>
      <c r="E57" s="325"/>
      <c r="F57" s="325"/>
      <c r="G57" s="325"/>
      <c r="H57" s="325"/>
      <c r="I57" s="325"/>
      <c r="J57" s="161"/>
      <c r="K57" s="161"/>
      <c r="L57" s="161"/>
      <c r="M57" s="161"/>
      <c r="N57" s="161"/>
      <c r="O57" s="161"/>
      <c r="P57" s="161"/>
      <c r="Q57" s="161"/>
      <c r="R57" s="161"/>
      <c r="S57" s="161"/>
    </row>
    <row r="58" spans="1:19" ht="10.5" customHeight="1">
      <c r="A58" s="325"/>
      <c r="B58" s="325"/>
      <c r="C58" s="325"/>
      <c r="D58" s="325"/>
      <c r="E58" s="325"/>
      <c r="F58" s="325"/>
      <c r="G58" s="325"/>
      <c r="H58" s="325"/>
      <c r="I58" s="325"/>
      <c r="J58" s="161"/>
      <c r="K58" s="161"/>
      <c r="L58" s="161"/>
      <c r="M58" s="161"/>
      <c r="N58" s="161"/>
      <c r="O58" s="161"/>
      <c r="P58" s="161"/>
      <c r="Q58" s="161"/>
      <c r="R58" s="161"/>
      <c r="S58" s="161"/>
    </row>
    <row r="59" spans="1:19" ht="10.5" customHeight="1">
      <c r="A59" s="325"/>
      <c r="B59" s="325"/>
      <c r="C59" s="325"/>
      <c r="D59" s="325"/>
      <c r="E59" s="325"/>
      <c r="F59" s="325"/>
      <c r="G59" s="325"/>
      <c r="H59" s="325"/>
      <c r="I59" s="325"/>
      <c r="J59" s="161"/>
      <c r="K59" s="161"/>
      <c r="L59" s="161"/>
      <c r="M59" s="161"/>
      <c r="N59" s="161"/>
      <c r="O59" s="161"/>
      <c r="P59" s="161"/>
      <c r="Q59" s="161"/>
      <c r="R59" s="161"/>
      <c r="S59" s="161"/>
    </row>
    <row r="60" spans="1:19" ht="10.5" customHeight="1">
      <c r="A60" s="325"/>
      <c r="B60" s="325"/>
      <c r="C60" s="325"/>
      <c r="D60" s="325"/>
      <c r="E60" s="325"/>
      <c r="F60" s="325"/>
      <c r="G60" s="325"/>
      <c r="H60" s="325"/>
      <c r="I60" s="325"/>
      <c r="J60" s="161"/>
      <c r="K60" s="161"/>
      <c r="L60" s="161"/>
      <c r="M60" s="161"/>
      <c r="N60" s="161"/>
      <c r="O60" s="161"/>
      <c r="P60" s="161"/>
      <c r="Q60" s="161"/>
      <c r="R60" s="161"/>
      <c r="S60" s="161"/>
    </row>
    <row r="61" spans="1:19" ht="10.5" customHeight="1">
      <c r="A61" s="325"/>
      <c r="B61" s="325"/>
      <c r="C61" s="325"/>
      <c r="D61" s="325"/>
      <c r="E61" s="325"/>
      <c r="F61" s="325"/>
      <c r="G61" s="325"/>
      <c r="H61" s="325"/>
      <c r="I61" s="325"/>
      <c r="J61" s="161"/>
      <c r="K61" s="161"/>
      <c r="L61" s="161"/>
      <c r="M61" s="161"/>
      <c r="N61" s="161"/>
      <c r="O61" s="161"/>
      <c r="P61" s="161"/>
      <c r="Q61" s="161"/>
      <c r="R61" s="161"/>
      <c r="S61" s="161"/>
    </row>
    <row r="62" spans="1:19" ht="10.5" customHeight="1">
      <c r="A62" s="325"/>
      <c r="B62" s="325"/>
      <c r="C62" s="325"/>
      <c r="D62" s="325"/>
      <c r="E62" s="325"/>
      <c r="F62" s="325"/>
      <c r="G62" s="325"/>
      <c r="H62" s="325"/>
      <c r="I62" s="325"/>
      <c r="J62" s="161"/>
      <c r="K62" s="161"/>
      <c r="L62" s="161"/>
      <c r="M62" s="161"/>
      <c r="N62" s="161"/>
      <c r="O62" s="161"/>
      <c r="P62" s="161"/>
      <c r="Q62" s="161"/>
      <c r="R62" s="161"/>
      <c r="S62" s="161"/>
    </row>
    <row r="63" spans="1:19" ht="10.5" customHeight="1">
      <c r="A63" s="325"/>
      <c r="B63" s="325"/>
      <c r="C63" s="325"/>
      <c r="D63" s="325"/>
      <c r="E63" s="325"/>
      <c r="F63" s="325"/>
      <c r="G63" s="325"/>
      <c r="H63" s="325"/>
      <c r="I63" s="325"/>
      <c r="J63" s="161"/>
      <c r="K63" s="161"/>
      <c r="L63" s="161"/>
      <c r="M63" s="161"/>
      <c r="N63" s="161"/>
      <c r="O63" s="161"/>
      <c r="P63" s="161"/>
      <c r="Q63" s="161"/>
      <c r="R63" s="161"/>
      <c r="S63" s="161"/>
    </row>
    <row r="64" spans="1:19" ht="10.5" customHeight="1">
      <c r="A64" s="325"/>
      <c r="B64" s="325"/>
      <c r="C64" s="325"/>
      <c r="D64" s="325"/>
      <c r="E64" s="325"/>
      <c r="F64" s="325"/>
      <c r="G64" s="325"/>
      <c r="H64" s="325"/>
      <c r="I64" s="325"/>
      <c r="J64" s="161"/>
      <c r="K64" s="161"/>
      <c r="L64" s="161"/>
      <c r="M64" s="161"/>
      <c r="N64" s="161"/>
      <c r="O64" s="161"/>
      <c r="P64" s="161"/>
      <c r="Q64" s="161"/>
      <c r="R64" s="161"/>
      <c r="S64" s="161"/>
    </row>
    <row r="65" spans="1:19" ht="10.5" customHeight="1">
      <c r="A65" s="325"/>
      <c r="B65" s="325"/>
      <c r="C65" s="325"/>
      <c r="D65" s="325"/>
      <c r="E65" s="325"/>
      <c r="F65" s="325"/>
      <c r="G65" s="325"/>
      <c r="H65" s="325"/>
      <c r="I65" s="325"/>
      <c r="J65" s="161"/>
      <c r="K65" s="161"/>
      <c r="L65" s="161"/>
      <c r="M65" s="161"/>
      <c r="N65" s="161"/>
      <c r="O65" s="161"/>
      <c r="P65" s="161"/>
      <c r="Q65" s="161"/>
      <c r="R65" s="161"/>
      <c r="S65" s="161"/>
    </row>
    <row r="66" spans="1:19" ht="10.5" customHeight="1">
      <c r="A66" s="325"/>
      <c r="B66" s="325"/>
      <c r="C66" s="325"/>
      <c r="D66" s="325"/>
      <c r="E66" s="325"/>
      <c r="F66" s="325"/>
      <c r="G66" s="325"/>
      <c r="H66" s="325"/>
      <c r="I66" s="325"/>
      <c r="J66" s="161"/>
      <c r="K66" s="161"/>
      <c r="L66" s="161"/>
      <c r="M66" s="161"/>
      <c r="N66" s="161"/>
      <c r="O66" s="161"/>
      <c r="P66" s="161"/>
      <c r="Q66" s="161"/>
      <c r="R66" s="161"/>
      <c r="S66" s="161"/>
    </row>
    <row r="67" spans="1:19" ht="10.5" customHeight="1">
      <c r="A67" s="320"/>
      <c r="B67" s="320"/>
      <c r="C67" s="320"/>
      <c r="D67" s="320"/>
      <c r="E67" s="320"/>
      <c r="F67" s="320"/>
      <c r="G67" s="320"/>
      <c r="H67" s="320"/>
      <c r="I67" s="320"/>
      <c r="J67" s="161"/>
      <c r="K67" s="161"/>
      <c r="L67" s="161"/>
      <c r="M67" s="161"/>
      <c r="N67" s="161"/>
      <c r="O67" s="161"/>
      <c r="P67" s="161"/>
      <c r="Q67" s="161"/>
      <c r="R67" s="161"/>
      <c r="S67" s="161"/>
    </row>
    <row r="68" spans="1:19" ht="10.5" customHeight="1">
      <c r="A68" s="320"/>
      <c r="B68" s="320"/>
      <c r="C68" s="320"/>
      <c r="D68" s="320"/>
      <c r="E68" s="320"/>
      <c r="F68" s="320"/>
      <c r="G68" s="320"/>
      <c r="H68" s="320"/>
      <c r="I68" s="320"/>
      <c r="J68" s="161"/>
      <c r="K68" s="161"/>
      <c r="L68" s="161"/>
      <c r="M68" s="161"/>
      <c r="N68" s="161"/>
      <c r="O68" s="161"/>
      <c r="P68" s="161"/>
      <c r="Q68" s="161"/>
      <c r="R68" s="161"/>
      <c r="S68" s="161"/>
    </row>
    <row r="69" spans="1:19" ht="10.5" customHeight="1">
      <c r="A69" s="320"/>
      <c r="B69" s="320"/>
      <c r="C69" s="320"/>
      <c r="D69" s="320"/>
      <c r="E69" s="320"/>
      <c r="F69" s="320"/>
      <c r="G69" s="320"/>
      <c r="H69" s="320"/>
      <c r="I69" s="320"/>
      <c r="J69" s="161"/>
      <c r="K69" s="161"/>
      <c r="L69" s="161"/>
      <c r="M69" s="161"/>
      <c r="N69" s="161"/>
      <c r="O69" s="161"/>
      <c r="P69" s="161"/>
      <c r="Q69" s="161"/>
      <c r="R69" s="161"/>
      <c r="S69" s="161"/>
    </row>
    <row r="70" spans="1:19" ht="10.5" customHeight="1">
      <c r="A70" s="320"/>
      <c r="B70" s="320"/>
      <c r="C70" s="320"/>
      <c r="D70" s="320"/>
      <c r="E70" s="320"/>
      <c r="F70" s="320"/>
      <c r="G70" s="320"/>
      <c r="H70" s="320"/>
      <c r="I70" s="320"/>
      <c r="J70" s="161"/>
      <c r="K70" s="161"/>
      <c r="L70" s="161"/>
      <c r="M70" s="161"/>
      <c r="N70" s="161"/>
      <c r="O70" s="161"/>
      <c r="P70" s="161"/>
      <c r="Q70" s="161"/>
      <c r="R70" s="161"/>
      <c r="S70" s="161"/>
    </row>
    <row r="71" spans="10:19" ht="10.5" customHeight="1">
      <c r="J71" s="161"/>
      <c r="K71" s="161"/>
      <c r="L71" s="161"/>
      <c r="M71" s="161"/>
      <c r="N71" s="161"/>
      <c r="O71" s="161"/>
      <c r="P71" s="161"/>
      <c r="Q71" s="161"/>
      <c r="R71" s="161"/>
      <c r="S71" s="161"/>
    </row>
    <row r="72" spans="10:19" ht="10.5" customHeight="1">
      <c r="J72" s="161"/>
      <c r="K72" s="161"/>
      <c r="L72" s="161"/>
      <c r="M72" s="161"/>
      <c r="N72" s="161"/>
      <c r="O72" s="161"/>
      <c r="P72" s="161"/>
      <c r="Q72" s="161"/>
      <c r="R72" s="161"/>
      <c r="S72" s="161"/>
    </row>
  </sheetData>
  <sheetProtection/>
  <mergeCells count="14">
    <mergeCell ref="A12:C12"/>
    <mergeCell ref="F20:H20"/>
    <mergeCell ref="A26:C26"/>
    <mergeCell ref="D26:F26"/>
    <mergeCell ref="G26:I26"/>
    <mergeCell ref="A15:E15"/>
    <mergeCell ref="A1:I1"/>
    <mergeCell ref="A2:I2"/>
    <mergeCell ref="A8:C8"/>
    <mergeCell ref="A9:C9"/>
    <mergeCell ref="A10:C10"/>
    <mergeCell ref="B4:H4"/>
    <mergeCell ref="A7:E7"/>
    <mergeCell ref="F10:H10"/>
  </mergeCells>
  <printOptions/>
  <pageMargins left="0.511811024" right="0.511811024" top="0.787401575" bottom="0.787401575" header="0.31496062" footer="0.31496062"/>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Plan3"/>
  <dimension ref="A1:AB49"/>
  <sheetViews>
    <sheetView showGridLines="0" showRowColHeaders="0" zoomScalePageLayoutView="0" workbookViewId="0" topLeftCell="A1">
      <pane ySplit="8" topLeftCell="A9" activePane="bottomLeft" state="frozen"/>
      <selection pane="topLeft" activeCell="A1" sqref="A1"/>
      <selection pane="bottomLeft" activeCell="E6" sqref="E6:G6"/>
    </sheetView>
  </sheetViews>
  <sheetFormatPr defaultColWidth="9.140625" defaultRowHeight="15"/>
  <cols>
    <col min="1" max="1" width="17.7109375" style="7" customWidth="1"/>
    <col min="2" max="5" width="7.7109375" style="7" customWidth="1"/>
    <col min="6" max="10" width="14.7109375" style="7" customWidth="1"/>
    <col min="11" max="12" width="5.7109375" style="0" customWidth="1"/>
    <col min="13" max="13" width="18.8515625" style="0" customWidth="1"/>
    <col min="16" max="16" width="3.57421875" style="0" customWidth="1"/>
    <col min="17" max="17" width="26.8515625" style="0" customWidth="1"/>
  </cols>
  <sheetData>
    <row r="1" spans="1:28" ht="21.75" thickBot="1">
      <c r="A1" s="407" t="s">
        <v>194</v>
      </c>
      <c r="B1" s="408"/>
      <c r="C1" s="408"/>
      <c r="D1" s="408"/>
      <c r="E1" s="408"/>
      <c r="F1" s="408"/>
      <c r="G1" s="408"/>
      <c r="H1" s="408"/>
      <c r="I1" s="408"/>
      <c r="J1" s="409"/>
      <c r="L1" s="131"/>
      <c r="M1" s="131"/>
      <c r="N1" s="131"/>
      <c r="O1" s="131"/>
      <c r="P1" s="131"/>
      <c r="Q1" s="131"/>
      <c r="R1" s="131"/>
      <c r="S1" s="131"/>
      <c r="T1" s="131"/>
      <c r="U1" s="131"/>
      <c r="V1" s="288"/>
      <c r="W1" s="288"/>
      <c r="X1" s="288"/>
      <c r="Y1" s="288"/>
      <c r="Z1" s="301"/>
      <c r="AA1" s="301"/>
      <c r="AB1" s="301"/>
    </row>
    <row r="2" spans="1:28" ht="16.5" thickBot="1">
      <c r="A2" s="404" t="s">
        <v>95</v>
      </c>
      <c r="B2" s="405"/>
      <c r="C2" s="405"/>
      <c r="D2" s="405"/>
      <c r="E2" s="405"/>
      <c r="F2" s="405"/>
      <c r="G2" s="405"/>
      <c r="H2" s="406"/>
      <c r="L2" s="131"/>
      <c r="M2" s="131" t="s">
        <v>205</v>
      </c>
      <c r="N2" s="131"/>
      <c r="O2" s="131"/>
      <c r="P2" s="131"/>
      <c r="Q2" s="131" t="s">
        <v>81</v>
      </c>
      <c r="R2" s="131"/>
      <c r="S2" s="131"/>
      <c r="T2" s="131"/>
      <c r="U2" s="131"/>
      <c r="V2" s="288"/>
      <c r="W2" s="288"/>
      <c r="X2" s="288"/>
      <c r="Y2" s="288"/>
      <c r="Z2" s="301"/>
      <c r="AA2" s="301"/>
      <c r="AB2" s="301"/>
    </row>
    <row r="3" spans="1:28" ht="15">
      <c r="A3" s="144" t="s">
        <v>89</v>
      </c>
      <c r="B3" s="413" t="s">
        <v>76</v>
      </c>
      <c r="C3" s="414"/>
      <c r="D3" s="414"/>
      <c r="E3" s="415"/>
      <c r="F3" s="145" t="s">
        <v>29</v>
      </c>
      <c r="G3" s="145" t="s">
        <v>158</v>
      </c>
      <c r="H3" s="146" t="s">
        <v>100</v>
      </c>
      <c r="L3" s="131"/>
      <c r="M3" s="131" t="s">
        <v>11</v>
      </c>
      <c r="N3" s="131" t="s">
        <v>12</v>
      </c>
      <c r="O3" s="131" t="s">
        <v>206</v>
      </c>
      <c r="P3" s="131"/>
      <c r="Q3" s="131" t="s">
        <v>82</v>
      </c>
      <c r="R3" s="131" t="s">
        <v>83</v>
      </c>
      <c r="S3" s="131" t="s">
        <v>84</v>
      </c>
      <c r="T3" s="291" t="s">
        <v>266</v>
      </c>
      <c r="U3" s="291" t="s">
        <v>267</v>
      </c>
      <c r="V3" s="288"/>
      <c r="W3" s="288"/>
      <c r="X3" s="288"/>
      <c r="Y3" s="288"/>
      <c r="Z3" s="301"/>
      <c r="AA3" s="301"/>
      <c r="AB3" s="301"/>
    </row>
    <row r="4" spans="1:28" ht="15.75" thickBot="1">
      <c r="A4" s="283" t="str">
        <f>IF('Dados de Entrada'!$K$4=1,"Pré-Moldada","Moldada in-loco")</f>
        <v>Moldada in-loco</v>
      </c>
      <c r="B4" s="410" t="str">
        <f>VLOOKUP('Dados de Entrada'!$L$4,'Dados de Entrada'!$R$6:$T$16,3)</f>
        <v>Escavada</v>
      </c>
      <c r="C4" s="411"/>
      <c r="D4" s="411"/>
      <c r="E4" s="412"/>
      <c r="F4" s="50">
        <f>'Dados de Entrada'!M3</f>
        <v>25</v>
      </c>
      <c r="G4" s="50">
        <f>'Dados de Entrada'!N$3</f>
        <v>15</v>
      </c>
      <c r="H4" s="279">
        <v>2</v>
      </c>
      <c r="L4" s="131">
        <v>1</v>
      </c>
      <c r="M4" s="131" t="s">
        <v>13</v>
      </c>
      <c r="N4" s="131">
        <v>1</v>
      </c>
      <c r="O4" s="131">
        <v>1.4</v>
      </c>
      <c r="P4" s="131">
        <v>1</v>
      </c>
      <c r="Q4" s="131" t="s">
        <v>58</v>
      </c>
      <c r="R4" s="131">
        <f>1+$F$4/80</f>
        <v>1.3125</v>
      </c>
      <c r="S4" s="131">
        <f>2*R4</f>
        <v>2.625</v>
      </c>
      <c r="T4" s="131">
        <f>VLOOKUP('Dados de Entrada'!$L$4,'Aoki-Velloso'!$P$4:$S$15,3)</f>
        <v>3</v>
      </c>
      <c r="U4" s="131">
        <f>VLOOKUP('Dados de Entrada'!$L$4,'Aoki-Velloso'!$P$4:$S$15,4)</f>
        <v>6</v>
      </c>
      <c r="V4" s="288"/>
      <c r="W4" s="288"/>
      <c r="X4" s="288"/>
      <c r="Y4" s="288"/>
      <c r="Z4" s="301"/>
      <c r="AA4" s="301"/>
      <c r="AB4" s="301"/>
    </row>
    <row r="5" spans="1:28" ht="15">
      <c r="A5" s="416" t="s">
        <v>155</v>
      </c>
      <c r="B5" s="416"/>
      <c r="C5" s="416"/>
      <c r="D5" s="416"/>
      <c r="E5" s="416" t="s">
        <v>156</v>
      </c>
      <c r="F5" s="416"/>
      <c r="G5" s="416"/>
      <c r="H5"/>
      <c r="L5" s="131"/>
      <c r="M5" s="131"/>
      <c r="N5" s="131"/>
      <c r="O5" s="131"/>
      <c r="P5" s="131"/>
      <c r="Q5" s="131"/>
      <c r="R5" s="131"/>
      <c r="S5" s="131"/>
      <c r="T5" s="131"/>
      <c r="U5" s="131"/>
      <c r="V5" s="288"/>
      <c r="W5" s="288"/>
      <c r="X5" s="288"/>
      <c r="Y5" s="288"/>
      <c r="Z5" s="301"/>
      <c r="AA5" s="301"/>
      <c r="AB5" s="301"/>
    </row>
    <row r="6" spans="1:28" ht="15.75" thickBot="1">
      <c r="A6" s="417">
        <v>100</v>
      </c>
      <c r="B6" s="417"/>
      <c r="C6" s="417"/>
      <c r="D6" s="417"/>
      <c r="E6" s="417">
        <v>100</v>
      </c>
      <c r="F6" s="417"/>
      <c r="G6" s="417"/>
      <c r="K6" s="301"/>
      <c r="L6" s="131">
        <v>2</v>
      </c>
      <c r="M6" s="131" t="s">
        <v>14</v>
      </c>
      <c r="N6" s="131">
        <v>0.8</v>
      </c>
      <c r="O6" s="131">
        <v>2</v>
      </c>
      <c r="P6" s="131">
        <v>2</v>
      </c>
      <c r="Q6" s="131" t="s">
        <v>59</v>
      </c>
      <c r="R6" s="131">
        <f>1+$F$4/80</f>
        <v>1.3125</v>
      </c>
      <c r="S6" s="131">
        <f>2*R6</f>
        <v>2.625</v>
      </c>
      <c r="T6" s="131"/>
      <c r="U6" s="131"/>
      <c r="V6" s="288"/>
      <c r="W6" s="288"/>
      <c r="X6" s="288"/>
      <c r="Y6" s="288"/>
      <c r="Z6" s="301"/>
      <c r="AA6" s="301"/>
      <c r="AB6" s="301"/>
    </row>
    <row r="7" spans="1:28" ht="19.5" thickBot="1">
      <c r="A7" s="400" t="s">
        <v>91</v>
      </c>
      <c r="B7" s="401"/>
      <c r="C7" s="401"/>
      <c r="D7" s="401"/>
      <c r="E7" s="401"/>
      <c r="F7" s="401"/>
      <c r="G7" s="401"/>
      <c r="H7" s="402"/>
      <c r="I7" s="402"/>
      <c r="J7" s="403"/>
      <c r="K7" s="301"/>
      <c r="L7" s="131">
        <v>3</v>
      </c>
      <c r="M7" s="131" t="s">
        <v>15</v>
      </c>
      <c r="N7" s="131">
        <v>0.7</v>
      </c>
      <c r="O7" s="131">
        <v>2.4</v>
      </c>
      <c r="P7" s="131">
        <v>3</v>
      </c>
      <c r="Q7" s="131" t="s">
        <v>60</v>
      </c>
      <c r="R7" s="131">
        <f>1+$F$4/80</f>
        <v>1.3125</v>
      </c>
      <c r="S7" s="131">
        <f>2*R7</f>
        <v>2.625</v>
      </c>
      <c r="T7" s="131"/>
      <c r="U7" s="131"/>
      <c r="V7" s="288"/>
      <c r="W7" s="288"/>
      <c r="X7" s="288"/>
      <c r="Y7" s="288"/>
      <c r="Z7" s="301"/>
      <c r="AA7" s="301"/>
      <c r="AB7" s="301"/>
    </row>
    <row r="8" spans="1:28" ht="18.75" thickBot="1">
      <c r="A8" s="142" t="s">
        <v>8</v>
      </c>
      <c r="B8" s="142" t="s">
        <v>98</v>
      </c>
      <c r="C8" s="143" t="s">
        <v>99</v>
      </c>
      <c r="D8" s="142" t="s">
        <v>83</v>
      </c>
      <c r="E8" s="142" t="s">
        <v>84</v>
      </c>
      <c r="F8" s="142" t="s">
        <v>93</v>
      </c>
      <c r="G8" s="142" t="s">
        <v>157</v>
      </c>
      <c r="H8" s="142" t="s">
        <v>92</v>
      </c>
      <c r="I8" s="142" t="s">
        <v>94</v>
      </c>
      <c r="J8" s="135" t="s">
        <v>159</v>
      </c>
      <c r="K8" s="301"/>
      <c r="L8" s="131">
        <v>4</v>
      </c>
      <c r="M8" s="131" t="s">
        <v>16</v>
      </c>
      <c r="N8" s="131">
        <v>0.6</v>
      </c>
      <c r="O8" s="131">
        <v>3</v>
      </c>
      <c r="P8" s="131">
        <v>4</v>
      </c>
      <c r="Q8" s="131" t="s">
        <v>85</v>
      </c>
      <c r="R8" s="131">
        <v>1.75</v>
      </c>
      <c r="S8" s="131">
        <f>2*R8</f>
        <v>3.5</v>
      </c>
      <c r="T8" s="131"/>
      <c r="U8" s="131"/>
      <c r="V8" s="288"/>
      <c r="W8" s="288"/>
      <c r="X8" s="288"/>
      <c r="Y8" s="288"/>
      <c r="Z8" s="301"/>
      <c r="AA8" s="301"/>
      <c r="AB8" s="301"/>
    </row>
    <row r="9" spans="1:28" ht="15.75" customHeight="1">
      <c r="A9" s="168">
        <v>1</v>
      </c>
      <c r="B9" s="169">
        <f>VLOOKUP('Dados de Entrada'!D3-1,$L$2:$O$19,3)*1000</f>
        <v>350</v>
      </c>
      <c r="C9" s="169">
        <f>VLOOKUP('Dados de Entrada'!D3-1,$L$2:$O$19,4)*0.01</f>
        <v>0.024</v>
      </c>
      <c r="D9" s="169">
        <f>$T$4</f>
        <v>3</v>
      </c>
      <c r="E9" s="169">
        <f>$U$4</f>
        <v>6</v>
      </c>
      <c r="F9" s="170">
        <f>('Dados de Entrada'!$M$9*0.0001*B9*'Dados de Entrada'!B3)/(VLOOKUP('Dados de Entrada'!$L$4,'Aoki-Velloso'!$P$4:$S$15,3))*$A$6/100</f>
        <v>28.634308040531973</v>
      </c>
      <c r="G9" s="171">
        <f>('Dados de Entrada'!$N$9*0.01)*((VLOOKUP('Dados de Entrada'!D3-1,$L$2:$O$19,4)*0.01)*(VLOOKUP('Dados de Entrada'!D3-1,$L$2:$O$19,3)*1000)*'Dados de Entrada'!B3)/(VLOOKUP('Dados de Entrada'!$L$4,'Aoki-Velloso'!$P$4:$S$14,4))*$E$6/100</f>
        <v>5.497787143782137</v>
      </c>
      <c r="H9" s="170">
        <f>G9</f>
        <v>5.497787143782137</v>
      </c>
      <c r="I9" s="170">
        <f>F9+H9</f>
        <v>34.13209518431411</v>
      </c>
      <c r="J9" s="172">
        <f>I9/$H$4</f>
        <v>17.066047592157055</v>
      </c>
      <c r="K9" s="301"/>
      <c r="L9" s="131">
        <v>5</v>
      </c>
      <c r="M9" s="131" t="s">
        <v>17</v>
      </c>
      <c r="N9" s="131">
        <v>0.5</v>
      </c>
      <c r="O9" s="131">
        <v>2.8</v>
      </c>
      <c r="P9" s="131">
        <v>5</v>
      </c>
      <c r="Q9" s="131" t="s">
        <v>61</v>
      </c>
      <c r="R9" s="131">
        <v>3</v>
      </c>
      <c r="S9" s="131">
        <f aca="true" t="shared" si="0" ref="S9:S15">2*R9</f>
        <v>6</v>
      </c>
      <c r="T9" s="131"/>
      <c r="U9" s="131"/>
      <c r="V9" s="288"/>
      <c r="W9" s="288"/>
      <c r="X9" s="288"/>
      <c r="Y9" s="288"/>
      <c r="Z9" s="301"/>
      <c r="AA9" s="301"/>
      <c r="AB9" s="301"/>
    </row>
    <row r="10" spans="1:28" ht="15.75" customHeight="1">
      <c r="A10" s="173">
        <f aca="true" t="shared" si="1" ref="A10:A28">IF(A9="","",IF($G$4&gt;=A9+1,A9+1,""))</f>
        <v>2</v>
      </c>
      <c r="B10" s="136">
        <f>IF(A10="","",VLOOKUP('Dados de Entrada'!D4-1,$L$2:$O$19,3)*1000)</f>
        <v>350</v>
      </c>
      <c r="C10" s="136">
        <f>IF(A10="","",VLOOKUP('Dados de Entrada'!D4-1,$L$2:$O$19,4)*0.01)</f>
        <v>0.024</v>
      </c>
      <c r="D10" s="136">
        <f>IF(A10="","",$T$4)</f>
        <v>3</v>
      </c>
      <c r="E10" s="136">
        <f>IF(A10="","",$U$4)</f>
        <v>6</v>
      </c>
      <c r="F10" s="137">
        <f>IF(A10="","",('Dados de Entrada'!$M$9*0.0001*B10*'Dados de Entrada'!B4)/(VLOOKUP('Dados de Entrada'!$L$4,'Aoki-Velloso'!$P$4:$S$15,3))*$A$6/100)</f>
        <v>28.634308040531973</v>
      </c>
      <c r="G10" s="137">
        <f>IF(A10="","",('Dados de Entrada'!$N$9*0.01)*((VLOOKUP('Dados de Entrada'!D4-1,$L$2:$O$19,4)*0.01)*(VLOOKUP('Dados de Entrada'!D4-1,$L$2:$O$19,3)*1000)*'Dados de Entrada'!B4)/(VLOOKUP('Dados de Entrada'!$L$4,'Aoki-Velloso'!$P$4:$S$14,4))*$E$6/100)</f>
        <v>5.497787143782137</v>
      </c>
      <c r="H10" s="137">
        <f>IF(A10="","",H9+G10)</f>
        <v>10.995574287564274</v>
      </c>
      <c r="I10" s="137">
        <f>IF(A10="","",F10+H10)</f>
        <v>39.629882328096244</v>
      </c>
      <c r="J10" s="174">
        <f>IF(A10="","",I10/$H$4)</f>
        <v>19.814941164048122</v>
      </c>
      <c r="K10" s="301"/>
      <c r="L10" s="131">
        <v>6</v>
      </c>
      <c r="M10" s="131" t="s">
        <v>18</v>
      </c>
      <c r="N10" s="131">
        <v>0.4</v>
      </c>
      <c r="O10" s="131">
        <v>3</v>
      </c>
      <c r="P10" s="131">
        <v>6</v>
      </c>
      <c r="Q10" s="131" t="s">
        <v>62</v>
      </c>
      <c r="R10" s="131">
        <v>3</v>
      </c>
      <c r="S10" s="131">
        <f t="shared" si="0"/>
        <v>6</v>
      </c>
      <c r="T10" s="131"/>
      <c r="U10" s="131"/>
      <c r="V10" s="288"/>
      <c r="W10" s="288"/>
      <c r="X10" s="288"/>
      <c r="Y10" s="288"/>
      <c r="Z10" s="301"/>
      <c r="AA10" s="301"/>
      <c r="AB10" s="301"/>
    </row>
    <row r="11" spans="1:28" ht="15.75" customHeight="1">
      <c r="A11" s="173">
        <f t="shared" si="1"/>
        <v>3</v>
      </c>
      <c r="B11" s="136">
        <f>IF(A11="","",VLOOKUP('Dados de Entrada'!D5-1,$L$2:$O$19,3)*1000)</f>
        <v>350</v>
      </c>
      <c r="C11" s="136">
        <f>IF(A11="","",VLOOKUP('Dados de Entrada'!D5-1,$L$2:$O$19,4)*0.01)</f>
        <v>0.024</v>
      </c>
      <c r="D11" s="136">
        <f aca="true" t="shared" si="2" ref="D11:D48">IF(A11="","",$T$4)</f>
        <v>3</v>
      </c>
      <c r="E11" s="136">
        <f aca="true" t="shared" si="3" ref="E11:E48">IF(A11="","",$U$4)</f>
        <v>6</v>
      </c>
      <c r="F11" s="137">
        <f>IF(A11="","",('Dados de Entrada'!$M$9*0.0001*B11*'Dados de Entrada'!B5)/(VLOOKUP('Dados de Entrada'!$L$4,'Aoki-Velloso'!$P$4:$S$15,3))*$A$6/100)</f>
        <v>22.907446432425576</v>
      </c>
      <c r="G11" s="137">
        <f>IF(A11="","",('Dados de Entrada'!$N$9*0.01)*((VLOOKUP('Dados de Entrada'!D5-1,$L$2:$O$19,4)*0.01)*(VLOOKUP('Dados de Entrada'!D5-1,$L$2:$O$19,3)*1000)*'Dados de Entrada'!B5)/(VLOOKUP('Dados de Entrada'!$L$4,'Aoki-Velloso'!$P$4:$S$14,4))*$E$6/100)</f>
        <v>4.39822971502571</v>
      </c>
      <c r="H11" s="137">
        <f>IF(A11="","",H10+G11)</f>
        <v>15.393804002589984</v>
      </c>
      <c r="I11" s="137">
        <f>IF(A11="","",F11+H11)</f>
        <v>38.30125043501556</v>
      </c>
      <c r="J11" s="174">
        <f aca="true" t="shared" si="4" ref="J11:J48">IF(A11="","",I11/$H$4)</f>
        <v>19.15062521750778</v>
      </c>
      <c r="K11" s="301"/>
      <c r="L11" s="131">
        <v>7</v>
      </c>
      <c r="M11" s="131" t="s">
        <v>19</v>
      </c>
      <c r="N11" s="131">
        <v>0.55</v>
      </c>
      <c r="O11" s="131">
        <v>2.2</v>
      </c>
      <c r="P11" s="131">
        <v>7</v>
      </c>
      <c r="Q11" s="131" t="s">
        <v>63</v>
      </c>
      <c r="R11" s="131">
        <v>3</v>
      </c>
      <c r="S11" s="131">
        <f t="shared" si="0"/>
        <v>6</v>
      </c>
      <c r="T11" s="131"/>
      <c r="U11" s="131"/>
      <c r="V11" s="288"/>
      <c r="W11" s="288"/>
      <c r="X11" s="288"/>
      <c r="Y11" s="288"/>
      <c r="Z11" s="301"/>
      <c r="AA11" s="301"/>
      <c r="AB11" s="301"/>
    </row>
    <row r="12" spans="1:28" ht="15.75" customHeight="1">
      <c r="A12" s="173">
        <f t="shared" si="1"/>
        <v>4</v>
      </c>
      <c r="B12" s="136">
        <f>IF(A12="","",VLOOKUP('Dados de Entrada'!D6-1,$L$2:$O$19,3)*1000)</f>
        <v>350</v>
      </c>
      <c r="C12" s="136">
        <f>IF(A12="","",VLOOKUP('Dados de Entrada'!D6-1,$L$2:$O$19,4)*0.01)</f>
        <v>0.024</v>
      </c>
      <c r="D12" s="136">
        <f t="shared" si="2"/>
        <v>3</v>
      </c>
      <c r="E12" s="136">
        <f t="shared" si="3"/>
        <v>6</v>
      </c>
      <c r="F12" s="137">
        <f>IF(A12="","",('Dados de Entrada'!$M$9*0.0001*B12*'Dados de Entrada'!B6)/(VLOOKUP('Dados de Entrada'!$L$4,'Aoki-Velloso'!$P$4:$S$15,3))*$A$6/100)</f>
        <v>34.361169648638366</v>
      </c>
      <c r="G12" s="137">
        <f>IF(A12="","",('Dados de Entrada'!$N$9*0.01)*((VLOOKUP('Dados de Entrada'!D6-1,$L$2:$O$19,4)*0.01)*(VLOOKUP('Dados de Entrada'!D6-1,$L$2:$O$19,3)*1000)*'Dados de Entrada'!B6)/(VLOOKUP('Dados de Entrada'!$L$4,'Aoki-Velloso'!$P$4:$S$14,4))*$E$6/100)</f>
        <v>6.5973445725385655</v>
      </c>
      <c r="H12" s="137">
        <f aca="true" t="shared" si="5" ref="H12:H48">IF(A12="","",H11+G12)</f>
        <v>21.99114857512855</v>
      </c>
      <c r="I12" s="137">
        <f aca="true" t="shared" si="6" ref="I12:I48">IF(A12="","",F12+H12)</f>
        <v>56.352318223766915</v>
      </c>
      <c r="J12" s="174">
        <f t="shared" si="4"/>
        <v>28.176159111883457</v>
      </c>
      <c r="K12" s="301"/>
      <c r="L12" s="131">
        <v>8</v>
      </c>
      <c r="M12" s="131" t="s">
        <v>20</v>
      </c>
      <c r="N12" s="131">
        <v>0.45</v>
      </c>
      <c r="O12" s="131">
        <v>2.8</v>
      </c>
      <c r="P12" s="131">
        <v>8</v>
      </c>
      <c r="Q12" s="131" t="s">
        <v>65</v>
      </c>
      <c r="R12" s="131">
        <v>2.5</v>
      </c>
      <c r="S12" s="131">
        <f t="shared" si="0"/>
        <v>5</v>
      </c>
      <c r="T12" s="131"/>
      <c r="U12" s="131"/>
      <c r="V12" s="288"/>
      <c r="W12" s="288"/>
      <c r="X12" s="288"/>
      <c r="Y12" s="288"/>
      <c r="Z12" s="301"/>
      <c r="AA12" s="301"/>
      <c r="AB12" s="301"/>
    </row>
    <row r="13" spans="1:28" ht="15.75" customHeight="1">
      <c r="A13" s="173">
        <f t="shared" si="1"/>
        <v>5</v>
      </c>
      <c r="B13" s="136">
        <f>IF(A13="","",VLOOKUP('Dados de Entrada'!D7-1,$L$2:$O$19,3)*1000)</f>
        <v>350</v>
      </c>
      <c r="C13" s="136">
        <f>IF(A13="","",VLOOKUP('Dados de Entrada'!D7-1,$L$2:$O$19,4)*0.01)</f>
        <v>0.024</v>
      </c>
      <c r="D13" s="136">
        <f t="shared" si="2"/>
        <v>3</v>
      </c>
      <c r="E13" s="136">
        <f t="shared" si="3"/>
        <v>6</v>
      </c>
      <c r="F13" s="137">
        <f>IF(A13="","",('Dados de Entrada'!$M$9*0.0001*B13*'Dados de Entrada'!B7)/(VLOOKUP('Dados de Entrada'!$L$4,'Aoki-Velloso'!$P$4:$S$15,3))*$A$6/100)</f>
        <v>57.268616081063946</v>
      </c>
      <c r="G13" s="137">
        <f>IF(A13="","",('Dados de Entrada'!$N$9*0.01)*((VLOOKUP('Dados de Entrada'!D7-1,$L$2:$O$19,4)*0.01)*(VLOOKUP('Dados de Entrada'!D7-1,$L$2:$O$19,3)*1000)*'Dados de Entrada'!B7)/(VLOOKUP('Dados de Entrada'!$L$4,'Aoki-Velloso'!$P$4:$S$14,4))*$E$6/100)</f>
        <v>10.995574287564274</v>
      </c>
      <c r="H13" s="137">
        <f t="shared" si="5"/>
        <v>32.98672286269282</v>
      </c>
      <c r="I13" s="137">
        <f t="shared" si="6"/>
        <v>90.25533894375677</v>
      </c>
      <c r="J13" s="174">
        <f t="shared" si="4"/>
        <v>45.127669471878384</v>
      </c>
      <c r="K13" s="301"/>
      <c r="L13" s="131">
        <v>9</v>
      </c>
      <c r="M13" s="131" t="s">
        <v>21</v>
      </c>
      <c r="N13" s="131">
        <v>0.23</v>
      </c>
      <c r="O13" s="131">
        <v>3.4</v>
      </c>
      <c r="P13" s="131">
        <v>9</v>
      </c>
      <c r="Q13" s="131" t="s">
        <v>66</v>
      </c>
      <c r="R13" s="131">
        <v>2.5</v>
      </c>
      <c r="S13" s="131">
        <f t="shared" si="0"/>
        <v>5</v>
      </c>
      <c r="T13" s="131"/>
      <c r="U13" s="131"/>
      <c r="V13" s="288"/>
      <c r="W13" s="288"/>
      <c r="X13" s="288"/>
      <c r="Y13" s="288"/>
      <c r="Z13" s="301"/>
      <c r="AA13" s="301"/>
      <c r="AB13" s="301"/>
    </row>
    <row r="14" spans="1:28" ht="15.75" customHeight="1">
      <c r="A14" s="173">
        <f t="shared" si="1"/>
        <v>6</v>
      </c>
      <c r="B14" s="136">
        <f>IF(A14="","",VLOOKUP('Dados de Entrada'!D8-1,$L$2:$O$19,3)*1000)</f>
        <v>350</v>
      </c>
      <c r="C14" s="136">
        <f>IF(A14="","",VLOOKUP('Dados de Entrada'!D8-1,$L$2:$O$19,4)*0.01)</f>
        <v>0.024</v>
      </c>
      <c r="D14" s="136">
        <f t="shared" si="2"/>
        <v>3</v>
      </c>
      <c r="E14" s="136">
        <f t="shared" si="3"/>
        <v>6</v>
      </c>
      <c r="F14" s="137">
        <f>IF(A14="","",('Dados de Entrada'!$M$9*0.0001*B14*'Dados de Entrada'!B8)/(VLOOKUP('Dados de Entrada'!$L$4,'Aoki-Velloso'!$P$4:$S$15,3))*$A$6/100)</f>
        <v>51.54175447295754</v>
      </c>
      <c r="G14" s="137">
        <f>IF(A14="","",('Dados de Entrada'!$N$9*0.01)*((VLOOKUP('Dados de Entrada'!D8-1,$L$2:$O$19,4)*0.01)*(VLOOKUP('Dados de Entrada'!D8-1,$L$2:$O$19,3)*1000)*'Dados de Entrada'!B8)/(VLOOKUP('Dados de Entrada'!$L$4,'Aoki-Velloso'!$P$4:$S$14,4))*$E$6/100)</f>
        <v>9.89601685880785</v>
      </c>
      <c r="H14" s="137">
        <f t="shared" si="5"/>
        <v>42.88273972150067</v>
      </c>
      <c r="I14" s="137">
        <f t="shared" si="6"/>
        <v>94.42449419445822</v>
      </c>
      <c r="J14" s="174">
        <f t="shared" si="4"/>
        <v>47.21224709722911</v>
      </c>
      <c r="K14" s="301"/>
      <c r="L14" s="131">
        <v>10</v>
      </c>
      <c r="M14" s="131" t="s">
        <v>22</v>
      </c>
      <c r="N14" s="131">
        <v>0.25</v>
      </c>
      <c r="O14" s="131">
        <v>3</v>
      </c>
      <c r="P14" s="131">
        <v>10</v>
      </c>
      <c r="Q14" s="131" t="s">
        <v>68</v>
      </c>
      <c r="R14" s="131">
        <v>2</v>
      </c>
      <c r="S14" s="131">
        <f t="shared" si="0"/>
        <v>4</v>
      </c>
      <c r="T14" s="131"/>
      <c r="U14" s="131"/>
      <c r="V14" s="288"/>
      <c r="W14" s="288"/>
      <c r="X14" s="288"/>
      <c r="Y14" s="288"/>
      <c r="Z14" s="301"/>
      <c r="AA14" s="301"/>
      <c r="AB14" s="301"/>
    </row>
    <row r="15" spans="1:28" ht="15.75" customHeight="1">
      <c r="A15" s="173">
        <f t="shared" si="1"/>
        <v>7</v>
      </c>
      <c r="B15" s="136">
        <f>IF(A15="","",VLOOKUP('Dados de Entrada'!D9-1,$L$2:$O$19,3)*1000)</f>
        <v>350</v>
      </c>
      <c r="C15" s="136">
        <f>IF(A15="","",VLOOKUP('Dados de Entrada'!D9-1,$L$2:$O$19,4)*0.01)</f>
        <v>0.024</v>
      </c>
      <c r="D15" s="136">
        <f t="shared" si="2"/>
        <v>3</v>
      </c>
      <c r="E15" s="136">
        <f t="shared" si="3"/>
        <v>6</v>
      </c>
      <c r="F15" s="137">
        <f>IF(A15="","",('Dados de Entrada'!$M$9*0.0001*B15*'Dados de Entrada'!B9)/(VLOOKUP('Dados de Entrada'!$L$4,'Aoki-Velloso'!$P$4:$S$15,3))*$A$6/100)</f>
        <v>80.17606251348953</v>
      </c>
      <c r="G15" s="137">
        <f>IF(A15="","",('Dados de Entrada'!$N$9*0.01)*((VLOOKUP('Dados de Entrada'!D9-1,$L$2:$O$19,4)*0.01)*(VLOOKUP('Dados de Entrada'!D9-1,$L$2:$O$19,3)*1000)*'Dados de Entrada'!B9)/(VLOOKUP('Dados de Entrada'!$L$4,'Aoki-Velloso'!$P$4:$S$14,4))*$E$6/100)</f>
        <v>15.393804002589988</v>
      </c>
      <c r="H15" s="137">
        <f t="shared" si="5"/>
        <v>58.27654372409066</v>
      </c>
      <c r="I15" s="137">
        <f t="shared" si="6"/>
        <v>138.4526062375802</v>
      </c>
      <c r="J15" s="174">
        <f t="shared" si="4"/>
        <v>69.2263031187901</v>
      </c>
      <c r="K15" s="301"/>
      <c r="L15" s="131">
        <v>11</v>
      </c>
      <c r="M15" s="131" t="s">
        <v>23</v>
      </c>
      <c r="N15" s="131">
        <v>0.2</v>
      </c>
      <c r="O15" s="131">
        <v>6</v>
      </c>
      <c r="P15" s="131">
        <v>11</v>
      </c>
      <c r="Q15" s="131" t="s">
        <v>70</v>
      </c>
      <c r="R15" s="131">
        <v>2</v>
      </c>
      <c r="S15" s="131">
        <f t="shared" si="0"/>
        <v>4</v>
      </c>
      <c r="T15" s="131"/>
      <c r="U15" s="131"/>
      <c r="V15" s="288"/>
      <c r="W15" s="288"/>
      <c r="X15" s="288"/>
      <c r="Y15" s="288"/>
      <c r="Z15" s="301"/>
      <c r="AA15" s="301"/>
      <c r="AB15" s="301"/>
    </row>
    <row r="16" spans="1:28" ht="15.75" customHeight="1">
      <c r="A16" s="173">
        <f t="shared" si="1"/>
        <v>8</v>
      </c>
      <c r="B16" s="136">
        <f>IF(A16="","",VLOOKUP('Dados de Entrada'!D10-1,$L$2:$O$19,3)*1000)</f>
        <v>350</v>
      </c>
      <c r="C16" s="136">
        <f>IF(A16="","",VLOOKUP('Dados de Entrada'!D10-1,$L$2:$O$19,4)*0.01)</f>
        <v>0.024</v>
      </c>
      <c r="D16" s="136">
        <f t="shared" si="2"/>
        <v>3</v>
      </c>
      <c r="E16" s="136">
        <f t="shared" si="3"/>
        <v>6</v>
      </c>
      <c r="F16" s="137">
        <f>IF(A16="","",('Dados de Entrada'!$M$9*0.0001*B16*'Dados de Entrada'!B10)/(VLOOKUP('Dados de Entrada'!$L$4,'Aoki-Velloso'!$P$4:$S$15,3))*$A$6/100)</f>
        <v>68.72233929727673</v>
      </c>
      <c r="G16" s="137">
        <f>IF(A16="","",('Dados de Entrada'!$N$9*0.01)*((VLOOKUP('Dados de Entrada'!D10-1,$L$2:$O$19,4)*0.01)*(VLOOKUP('Dados de Entrada'!D10-1,$L$2:$O$19,3)*1000)*'Dados de Entrada'!B10)/(VLOOKUP('Dados de Entrada'!$L$4,'Aoki-Velloso'!$P$4:$S$14,4))*$E$6/100)</f>
        <v>13.194689145077131</v>
      </c>
      <c r="H16" s="137">
        <f t="shared" si="5"/>
        <v>71.47123286916779</v>
      </c>
      <c r="I16" s="137">
        <f t="shared" si="6"/>
        <v>140.19357216644454</v>
      </c>
      <c r="J16" s="174">
        <f t="shared" si="4"/>
        <v>70.09678608322227</v>
      </c>
      <c r="K16" s="301"/>
      <c r="L16" s="131">
        <v>12</v>
      </c>
      <c r="M16" s="131" t="s">
        <v>24</v>
      </c>
      <c r="N16" s="131">
        <v>0.35</v>
      </c>
      <c r="O16" s="131">
        <v>2.4</v>
      </c>
      <c r="P16" s="131"/>
      <c r="Q16" s="131"/>
      <c r="R16" s="131"/>
      <c r="S16" s="131"/>
      <c r="T16" s="131"/>
      <c r="U16" s="131"/>
      <c r="V16" s="288"/>
      <c r="W16" s="288"/>
      <c r="X16" s="288"/>
      <c r="Y16" s="288"/>
      <c r="Z16" s="301"/>
      <c r="AA16" s="301"/>
      <c r="AB16" s="301"/>
    </row>
    <row r="17" spans="1:28" ht="15.75" customHeight="1">
      <c r="A17" s="173">
        <f t="shared" si="1"/>
        <v>9</v>
      </c>
      <c r="B17" s="136">
        <f>IF(A17="","",VLOOKUP('Dados de Entrada'!D11-1,$L$2:$O$19,3)*1000)</f>
        <v>350</v>
      </c>
      <c r="C17" s="136">
        <f>IF(A17="","",VLOOKUP('Dados de Entrada'!D11-1,$L$2:$O$19,4)*0.01)</f>
        <v>0.024</v>
      </c>
      <c r="D17" s="136">
        <f t="shared" si="2"/>
        <v>3</v>
      </c>
      <c r="E17" s="136">
        <f t="shared" si="3"/>
        <v>6</v>
      </c>
      <c r="F17" s="137">
        <f>IF(A17="","",('Dados de Entrada'!$M$9*0.0001*B17*'Dados de Entrada'!B11)/(VLOOKUP('Dados de Entrada'!$L$4,'Aoki-Velloso'!$P$4:$S$15,3))*$A$6/100)</f>
        <v>85.90292412159592</v>
      </c>
      <c r="G17" s="137">
        <f>IF(A17="","",('Dados de Entrada'!$N$9*0.01)*((VLOOKUP('Dados de Entrada'!D11-1,$L$2:$O$19,4)*0.01)*(VLOOKUP('Dados de Entrada'!D11-1,$L$2:$O$19,3)*1000)*'Dados de Entrada'!B11)/(VLOOKUP('Dados de Entrada'!$L$4,'Aoki-Velloso'!$P$4:$S$14,4))*$E$6/100)</f>
        <v>16.493361431346415</v>
      </c>
      <c r="H17" s="137">
        <f t="shared" si="5"/>
        <v>87.96459430051421</v>
      </c>
      <c r="I17" s="137">
        <f t="shared" si="6"/>
        <v>173.86751842211012</v>
      </c>
      <c r="J17" s="174">
        <f t="shared" si="4"/>
        <v>86.93375921105506</v>
      </c>
      <c r="K17" s="301"/>
      <c r="L17" s="131">
        <v>13</v>
      </c>
      <c r="M17" s="131" t="s">
        <v>25</v>
      </c>
      <c r="N17" s="131">
        <v>0.3</v>
      </c>
      <c r="O17" s="131">
        <v>2.8</v>
      </c>
      <c r="P17" s="131"/>
      <c r="Q17" s="131"/>
      <c r="R17" s="131"/>
      <c r="S17" s="131"/>
      <c r="T17" s="131"/>
      <c r="U17" s="131"/>
      <c r="V17" s="288"/>
      <c r="W17" s="288"/>
      <c r="X17" s="288"/>
      <c r="Y17" s="288"/>
      <c r="Z17" s="301"/>
      <c r="AA17" s="301"/>
      <c r="AB17" s="301"/>
    </row>
    <row r="18" spans="1:28" ht="15.75" customHeight="1">
      <c r="A18" s="173">
        <f t="shared" si="1"/>
        <v>10</v>
      </c>
      <c r="B18" s="136">
        <f>IF(A18="","",VLOOKUP('Dados de Entrada'!D12-1,$L$2:$O$19,3)*1000)</f>
        <v>350</v>
      </c>
      <c r="C18" s="136">
        <f>IF(A18="","",VLOOKUP('Dados de Entrada'!D12-1,$L$2:$O$19,4)*0.01)</f>
        <v>0.024</v>
      </c>
      <c r="D18" s="136">
        <f t="shared" si="2"/>
        <v>3</v>
      </c>
      <c r="E18" s="136">
        <f t="shared" si="3"/>
        <v>6</v>
      </c>
      <c r="F18" s="137">
        <f>IF(A18="","",('Dados de Entrada'!$M$9*0.0001*B18*'Dados de Entrada'!B12)/(VLOOKUP('Dados de Entrada'!$L$4,'Aoki-Velloso'!$P$4:$S$15,3))*$A$6/100)</f>
        <v>68.72233929727673</v>
      </c>
      <c r="G18" s="137">
        <f>IF(A18="","",('Dados de Entrada'!$N$9*0.01)*((VLOOKUP('Dados de Entrada'!D12-1,$L$2:$O$19,4)*0.01)*(VLOOKUP('Dados de Entrada'!D12-1,$L$2:$O$19,3)*1000)*'Dados de Entrada'!B12)/(VLOOKUP('Dados de Entrada'!$L$4,'Aoki-Velloso'!$P$4:$S$14,4))*$E$6/100)</f>
        <v>13.194689145077131</v>
      </c>
      <c r="H18" s="137">
        <f t="shared" si="5"/>
        <v>101.15928344559134</v>
      </c>
      <c r="I18" s="137">
        <f t="shared" si="6"/>
        <v>169.88162274286807</v>
      </c>
      <c r="J18" s="174">
        <f t="shared" si="4"/>
        <v>84.94081137143404</v>
      </c>
      <c r="K18" s="301"/>
      <c r="L18" s="131">
        <v>14</v>
      </c>
      <c r="M18" s="131" t="s">
        <v>26</v>
      </c>
      <c r="N18" s="131">
        <v>0.22</v>
      </c>
      <c r="O18" s="131">
        <v>4</v>
      </c>
      <c r="P18" s="131"/>
      <c r="Q18" s="131"/>
      <c r="R18" s="131"/>
      <c r="S18" s="131"/>
      <c r="T18" s="131"/>
      <c r="U18" s="131"/>
      <c r="V18" s="288"/>
      <c r="W18" s="288"/>
      <c r="X18" s="288"/>
      <c r="Y18" s="288"/>
      <c r="Z18" s="301"/>
      <c r="AA18" s="301"/>
      <c r="AB18" s="301"/>
    </row>
    <row r="19" spans="1:28" ht="15.75" customHeight="1">
      <c r="A19" s="173">
        <f t="shared" si="1"/>
        <v>11</v>
      </c>
      <c r="B19" s="136">
        <f>IF(A19="","",VLOOKUP('Dados de Entrada'!D13-1,$L$2:$O$19,3)*1000)</f>
        <v>350</v>
      </c>
      <c r="C19" s="136">
        <f>IF(A19="","",VLOOKUP('Dados de Entrada'!D13-1,$L$2:$O$19,4)*0.01)</f>
        <v>0.024</v>
      </c>
      <c r="D19" s="136">
        <f t="shared" si="2"/>
        <v>3</v>
      </c>
      <c r="E19" s="136">
        <f t="shared" si="3"/>
        <v>6</v>
      </c>
      <c r="F19" s="137">
        <f>IF(A19="","",('Dados de Entrada'!$M$9*0.0001*B19*'Dados de Entrada'!B13)/(VLOOKUP('Dados de Entrada'!$L$4,'Aoki-Velloso'!$P$4:$S$15,3))*$A$6/100)</f>
        <v>103.08350894591509</v>
      </c>
      <c r="G19" s="137">
        <f>IF(A19="","",('Dados de Entrada'!$N$9*0.01)*((VLOOKUP('Dados de Entrada'!D13-1,$L$2:$O$19,4)*0.01)*(VLOOKUP('Dados de Entrada'!D13-1,$L$2:$O$19,3)*1000)*'Dados de Entrada'!B13)/(VLOOKUP('Dados de Entrada'!$L$4,'Aoki-Velloso'!$P$4:$S$14,4))*$E$6/100)</f>
        <v>19.7920337176157</v>
      </c>
      <c r="H19" s="137">
        <f t="shared" si="5"/>
        <v>120.95131716320704</v>
      </c>
      <c r="I19" s="137">
        <f t="shared" si="6"/>
        <v>224.03482610912212</v>
      </c>
      <c r="J19" s="174">
        <f t="shared" si="4"/>
        <v>112.01741305456106</v>
      </c>
      <c r="K19" s="301"/>
      <c r="L19" s="131">
        <v>15</v>
      </c>
      <c r="M19" s="131" t="s">
        <v>27</v>
      </c>
      <c r="N19" s="131">
        <v>0.33</v>
      </c>
      <c r="O19" s="131">
        <v>3</v>
      </c>
      <c r="P19" s="131"/>
      <c r="Q19" s="131"/>
      <c r="R19" s="131"/>
      <c r="S19" s="131"/>
      <c r="T19" s="131"/>
      <c r="U19" s="131"/>
      <c r="V19" s="288"/>
      <c r="W19" s="288"/>
      <c r="X19" s="288"/>
      <c r="Y19" s="288"/>
      <c r="Z19" s="301"/>
      <c r="AA19" s="301"/>
      <c r="AB19" s="301"/>
    </row>
    <row r="20" spans="1:28" ht="15.75" customHeight="1">
      <c r="A20" s="173">
        <f t="shared" si="1"/>
        <v>12</v>
      </c>
      <c r="B20" s="136">
        <f>IF(A20="","",VLOOKUP('Dados de Entrada'!D14-1,$L$2:$O$19,3)*1000)</f>
        <v>350</v>
      </c>
      <c r="C20" s="136">
        <f>IF(A20="","",VLOOKUP('Dados de Entrada'!D14-1,$L$2:$O$19,4)*0.01)</f>
        <v>0.024</v>
      </c>
      <c r="D20" s="136">
        <f t="shared" si="2"/>
        <v>3</v>
      </c>
      <c r="E20" s="136">
        <f t="shared" si="3"/>
        <v>6</v>
      </c>
      <c r="F20" s="137">
        <f>IF(A20="","",('Dados de Entrada'!$M$9*0.0001*B20*'Dados de Entrada'!B14)/(VLOOKUP('Dados de Entrada'!$L$4,'Aoki-Velloso'!$P$4:$S$15,3))*$A$6/100)</f>
        <v>114.53723216212789</v>
      </c>
      <c r="G20" s="137">
        <f>IF(A20="","",('Dados de Entrada'!$N$9*0.01)*((VLOOKUP('Dados de Entrada'!D14-1,$L$2:$O$19,4)*0.01)*(VLOOKUP('Dados de Entrada'!D14-1,$L$2:$O$19,3)*1000)*'Dados de Entrada'!B14)/(VLOOKUP('Dados de Entrada'!$L$4,'Aoki-Velloso'!$P$4:$S$14,4))*$E$6/100)</f>
        <v>21.99114857512855</v>
      </c>
      <c r="H20" s="137">
        <f t="shared" si="5"/>
        <v>142.94246573833559</v>
      </c>
      <c r="I20" s="137">
        <f t="shared" si="6"/>
        <v>257.47969790046346</v>
      </c>
      <c r="J20" s="174">
        <f t="shared" si="4"/>
        <v>128.73984895023173</v>
      </c>
      <c r="K20" s="301"/>
      <c r="L20" s="131"/>
      <c r="M20" s="131"/>
      <c r="N20" s="131"/>
      <c r="O20" s="131"/>
      <c r="P20" s="131"/>
      <c r="Q20" s="131"/>
      <c r="R20" s="131"/>
      <c r="S20" s="131"/>
      <c r="T20" s="131"/>
      <c r="U20" s="131"/>
      <c r="V20" s="288"/>
      <c r="W20" s="288"/>
      <c r="X20" s="288"/>
      <c r="Y20" s="288"/>
      <c r="Z20" s="301"/>
      <c r="AA20" s="301"/>
      <c r="AB20" s="301"/>
    </row>
    <row r="21" spans="1:28" ht="15.75" customHeight="1">
      <c r="A21" s="173">
        <f t="shared" si="1"/>
        <v>13</v>
      </c>
      <c r="B21" s="136">
        <f>IF(A21="","",VLOOKUP('Dados de Entrada'!D15-1,$L$2:$O$19,3)*1000)</f>
        <v>350</v>
      </c>
      <c r="C21" s="136">
        <f>IF(A21="","",VLOOKUP('Dados de Entrada'!D15-1,$L$2:$O$19,4)*0.01)</f>
        <v>0.024</v>
      </c>
      <c r="D21" s="136">
        <f t="shared" si="2"/>
        <v>3</v>
      </c>
      <c r="E21" s="136">
        <f t="shared" si="3"/>
        <v>6</v>
      </c>
      <c r="F21" s="137">
        <f>IF(A21="","",('Dados de Entrada'!$M$9*0.0001*B21*'Dados de Entrada'!B15)/(VLOOKUP('Dados de Entrada'!$L$4,'Aoki-Velloso'!$P$4:$S$15,3))*$A$6/100)</f>
        <v>148.89840181076625</v>
      </c>
      <c r="G21" s="137">
        <f>IF(A21="","",('Dados de Entrada'!$N$9*0.01)*((VLOOKUP('Dados de Entrada'!D15-1,$L$2:$O$19,4)*0.01)*(VLOOKUP('Dados de Entrada'!D15-1,$L$2:$O$19,3)*1000)*'Dados de Entrada'!B15)/(VLOOKUP('Dados de Entrada'!$L$4,'Aoki-Velloso'!$P$4:$S$14,4))*$E$6/100)</f>
        <v>28.58849314766712</v>
      </c>
      <c r="H21" s="137">
        <f t="shared" si="5"/>
        <v>171.5309588860027</v>
      </c>
      <c r="I21" s="137">
        <f t="shared" si="6"/>
        <v>320.429360696769</v>
      </c>
      <c r="J21" s="174">
        <f t="shared" si="4"/>
        <v>160.2146803483845</v>
      </c>
      <c r="K21" s="301"/>
      <c r="L21" s="131"/>
      <c r="M21" s="131"/>
      <c r="N21" s="131"/>
      <c r="O21" s="131"/>
      <c r="P21" s="131"/>
      <c r="Q21" s="131"/>
      <c r="R21" s="131"/>
      <c r="S21" s="131"/>
      <c r="T21" s="131"/>
      <c r="U21" s="131"/>
      <c r="V21" s="288"/>
      <c r="W21" s="288"/>
      <c r="X21" s="288"/>
      <c r="Y21" s="288"/>
      <c r="Z21" s="301"/>
      <c r="AA21" s="301"/>
      <c r="AB21" s="301"/>
    </row>
    <row r="22" spans="1:28" ht="15.75" customHeight="1">
      <c r="A22" s="173">
        <f t="shared" si="1"/>
        <v>14</v>
      </c>
      <c r="B22" s="136">
        <f>IF(A22="","",VLOOKUP('Dados de Entrada'!D16-1,$L$2:$O$19,3)*1000)</f>
        <v>350</v>
      </c>
      <c r="C22" s="136">
        <f>IF(A22="","",VLOOKUP('Dados de Entrada'!D16-1,$L$2:$O$19,4)*0.01)</f>
        <v>0.024</v>
      </c>
      <c r="D22" s="136">
        <f t="shared" si="2"/>
        <v>3</v>
      </c>
      <c r="E22" s="136">
        <f t="shared" si="3"/>
        <v>6</v>
      </c>
      <c r="F22" s="137">
        <f>IF(A22="","",('Dados de Entrada'!$M$9*0.0001*B22*'Dados de Entrada'!B16)/(VLOOKUP('Dados de Entrada'!$L$4,'Aoki-Velloso'!$P$4:$S$15,3))*$A$6/100)</f>
        <v>188.98643306751103</v>
      </c>
      <c r="G22" s="137">
        <f>IF(A22="","",('Dados de Entrada'!$N$9*0.01)*((VLOOKUP('Dados de Entrada'!D16-1,$L$2:$O$19,4)*0.01)*(VLOOKUP('Dados de Entrada'!D16-1,$L$2:$O$19,3)*1000)*'Dados de Entrada'!B16)/(VLOOKUP('Dados de Entrada'!$L$4,'Aoki-Velloso'!$P$4:$S$14,4))*$E$6/100)</f>
        <v>36.28539514896211</v>
      </c>
      <c r="H22" s="137">
        <f t="shared" si="5"/>
        <v>207.81635403496483</v>
      </c>
      <c r="I22" s="137">
        <f t="shared" si="6"/>
        <v>396.80278710247586</v>
      </c>
      <c r="J22" s="174">
        <f t="shared" si="4"/>
        <v>198.40139355123793</v>
      </c>
      <c r="L22" s="131"/>
      <c r="M22" s="131"/>
      <c r="N22" s="131"/>
      <c r="O22" s="131"/>
      <c r="P22" s="131"/>
      <c r="Q22" s="131"/>
      <c r="R22" s="131"/>
      <c r="S22" s="131"/>
      <c r="T22" s="131"/>
      <c r="U22" s="131"/>
      <c r="V22" s="288"/>
      <c r="W22" s="288"/>
      <c r="X22" s="288"/>
      <c r="Y22" s="288"/>
      <c r="Z22" s="301"/>
      <c r="AA22" s="301"/>
      <c r="AB22" s="301"/>
    </row>
    <row r="23" spans="1:23" ht="15.75" customHeight="1">
      <c r="A23" s="173">
        <f t="shared" si="1"/>
        <v>15</v>
      </c>
      <c r="B23" s="136">
        <f>IF(A23="","",VLOOKUP('Dados de Entrada'!D17-1,$L$2:$O$19,3)*1000)</f>
        <v>350</v>
      </c>
      <c r="C23" s="136">
        <f>IF(A23="","",VLOOKUP('Dados de Entrada'!D17-1,$L$2:$O$19,4)*0.01)</f>
        <v>0.024</v>
      </c>
      <c r="D23" s="136">
        <f t="shared" si="2"/>
        <v>3</v>
      </c>
      <c r="E23" s="136">
        <f t="shared" si="3"/>
        <v>6</v>
      </c>
      <c r="F23" s="137">
        <f>IF(A23="","",('Dados de Entrada'!$M$9*0.0001*B23*'Dados de Entrada'!B17)/(VLOOKUP('Dados de Entrada'!$L$4,'Aoki-Velloso'!$P$4:$S$15,3))*$A$6/100)</f>
        <v>257.70877236478776</v>
      </c>
      <c r="G23" s="137">
        <f>IF(A23="","",('Dados de Entrada'!$N$9*0.01)*((VLOOKUP('Dados de Entrada'!D17-1,$L$2:$O$19,4)*0.01)*(VLOOKUP('Dados de Entrada'!D17-1,$L$2:$O$19,3)*1000)*'Dados de Entrada'!B17)/(VLOOKUP('Dados de Entrada'!$L$4,'Aoki-Velloso'!$P$4:$S$14,4))*$E$6/100)</f>
        <v>49.480084294039244</v>
      </c>
      <c r="H23" s="137">
        <f t="shared" si="5"/>
        <v>257.2964383290041</v>
      </c>
      <c r="I23" s="137">
        <f t="shared" si="6"/>
        <v>515.0052106937919</v>
      </c>
      <c r="J23" s="174">
        <f t="shared" si="4"/>
        <v>257.50260534689596</v>
      </c>
      <c r="L23" s="131"/>
      <c r="M23" s="131"/>
      <c r="N23" s="131"/>
      <c r="O23" s="131"/>
      <c r="P23" s="131"/>
      <c r="Q23" s="131"/>
      <c r="R23" s="131"/>
      <c r="S23" s="131"/>
      <c r="T23" s="131"/>
      <c r="U23" s="131"/>
      <c r="V23" s="131"/>
      <c r="W23" s="131"/>
    </row>
    <row r="24" spans="1:18" ht="15.75" customHeight="1">
      <c r="A24" s="173">
        <f t="shared" si="1"/>
      </c>
      <c r="B24" s="136">
        <f>IF(A24="","",VLOOKUP('Dados de Entrada'!D18-1,$L$2:$O$19,3)*1000)</f>
      </c>
      <c r="C24" s="136">
        <f>IF(A24="","",VLOOKUP('Dados de Entrada'!D18-1,$L$2:$O$19,4)*0.01)</f>
      </c>
      <c r="D24" s="136">
        <f t="shared" si="2"/>
      </c>
      <c r="E24" s="136">
        <f t="shared" si="3"/>
      </c>
      <c r="F24" s="137">
        <f>IF(A24="","",('Dados de Entrada'!$M$9*0.0001*B24*'Dados de Entrada'!B18)/(VLOOKUP('Dados de Entrada'!$L$4,'Aoki-Velloso'!$P$4:$S$15,3))*$A$6/100)</f>
      </c>
      <c r="G24" s="137">
        <f>IF(A24="","",('Dados de Entrada'!$N$9*0.01)*((VLOOKUP('Dados de Entrada'!D18-1,$L$2:$O$19,4)*0.01)*(VLOOKUP('Dados de Entrada'!D18-1,$L$2:$O$19,3)*1000)*'Dados de Entrada'!B18)/(VLOOKUP('Dados de Entrada'!$L$4,'Aoki-Velloso'!$P$4:$S$14,4))*$E$6/100)</f>
      </c>
      <c r="H24" s="137">
        <f t="shared" si="5"/>
      </c>
      <c r="I24" s="137">
        <f t="shared" si="6"/>
      </c>
      <c r="J24" s="174">
        <f t="shared" si="4"/>
      </c>
      <c r="M24" s="301"/>
      <c r="N24" s="301"/>
      <c r="O24" s="301"/>
      <c r="P24" s="301"/>
      <c r="Q24" s="301"/>
      <c r="R24" s="301"/>
    </row>
    <row r="25" spans="1:18" ht="15.75" customHeight="1">
      <c r="A25" s="173">
        <f t="shared" si="1"/>
      </c>
      <c r="B25" s="136">
        <f>IF(A25="","",VLOOKUP('Dados de Entrada'!D19-1,$L$2:$O$19,3)*1000)</f>
      </c>
      <c r="C25" s="136">
        <f>IF(A25="","",VLOOKUP('Dados de Entrada'!D19-1,$L$2:$O$19,4)*0.01)</f>
      </c>
      <c r="D25" s="136">
        <f t="shared" si="2"/>
      </c>
      <c r="E25" s="136">
        <f t="shared" si="3"/>
      </c>
      <c r="F25" s="137">
        <f>IF(A25="","",('Dados de Entrada'!$M$9*0.0001*B25*'Dados de Entrada'!B19)/(VLOOKUP('Dados de Entrada'!$L$4,'Aoki-Velloso'!$P$4:$S$15,3))*$A$6/100)</f>
      </c>
      <c r="G25" s="137">
        <f>IF(A25="","",('Dados de Entrada'!$N$9*0.01)*((VLOOKUP('Dados de Entrada'!D19-1,$L$2:$O$19,4)*0.01)*(VLOOKUP('Dados de Entrada'!D19-1,$L$2:$O$19,3)*1000)*'Dados de Entrada'!B19)/(VLOOKUP('Dados de Entrada'!$L$4,'Aoki-Velloso'!$P$4:$S$14,4))*$E$6/100)</f>
      </c>
      <c r="H25" s="137">
        <f t="shared" si="5"/>
      </c>
      <c r="I25" s="137">
        <f t="shared" si="6"/>
      </c>
      <c r="J25" s="174">
        <f t="shared" si="4"/>
      </c>
      <c r="M25" s="301"/>
      <c r="N25" s="301"/>
      <c r="O25" s="301"/>
      <c r="P25" s="301"/>
      <c r="Q25" s="301"/>
      <c r="R25" s="301"/>
    </row>
    <row r="26" spans="1:18" ht="15.75" customHeight="1">
      <c r="A26" s="173">
        <f t="shared" si="1"/>
      </c>
      <c r="B26" s="136">
        <f>IF(A26="","",VLOOKUP('Dados de Entrada'!D20-1,$L$2:$O$19,3)*1000)</f>
      </c>
      <c r="C26" s="136">
        <f>IF(A26="","",VLOOKUP('Dados de Entrada'!D20-1,$L$2:$O$19,4)*0.01)</f>
      </c>
      <c r="D26" s="136">
        <f t="shared" si="2"/>
      </c>
      <c r="E26" s="136">
        <f t="shared" si="3"/>
      </c>
      <c r="F26" s="137">
        <f>IF(A26="","",('Dados de Entrada'!$M$9*0.0001*B26*'Dados de Entrada'!B20)/(VLOOKUP('Dados de Entrada'!$L$4,'Aoki-Velloso'!$P$4:$S$15,3))*$A$6/100)</f>
      </c>
      <c r="G26" s="137">
        <f>IF(A26="","",('Dados de Entrada'!$N$9*0.01)*((VLOOKUP('Dados de Entrada'!D20-1,$L$2:$O$19,4)*0.01)*(VLOOKUP('Dados de Entrada'!D20-1,$L$2:$O$19,3)*1000)*'Dados de Entrada'!B20)/(VLOOKUP('Dados de Entrada'!$L$4,'Aoki-Velloso'!$P$4:$S$14,4))*$E$6/100)</f>
      </c>
      <c r="H26" s="137">
        <f t="shared" si="5"/>
      </c>
      <c r="I26" s="137">
        <f t="shared" si="6"/>
      </c>
      <c r="J26" s="174">
        <f t="shared" si="4"/>
      </c>
      <c r="M26" s="301"/>
      <c r="N26" s="301"/>
      <c r="O26" s="301"/>
      <c r="P26" s="301"/>
      <c r="Q26" s="301"/>
      <c r="R26" s="301"/>
    </row>
    <row r="27" spans="1:18" ht="15.75" customHeight="1">
      <c r="A27" s="173">
        <f t="shared" si="1"/>
      </c>
      <c r="B27" s="136">
        <f>IF(A27="","",VLOOKUP('Dados de Entrada'!D21-1,$L$2:$O$19,3)*1000)</f>
      </c>
      <c r="C27" s="136">
        <f>IF(A27="","",VLOOKUP('Dados de Entrada'!D21-1,$L$2:$O$19,4)*0.01)</f>
      </c>
      <c r="D27" s="136">
        <f t="shared" si="2"/>
      </c>
      <c r="E27" s="136">
        <f t="shared" si="3"/>
      </c>
      <c r="F27" s="137">
        <f>IF(A27="","",('Dados de Entrada'!$M$9*0.0001*B27*'Dados de Entrada'!B21)/(VLOOKUP('Dados de Entrada'!$L$4,'Aoki-Velloso'!$P$4:$S$15,3))*$A$6/100)</f>
      </c>
      <c r="G27" s="137">
        <f>IF(A27="","",('Dados de Entrada'!$N$9*0.01)*((VLOOKUP('Dados de Entrada'!D21-1,$L$2:$O$19,4)*0.01)*(VLOOKUP('Dados de Entrada'!D21-1,$L$2:$O$19,3)*1000)*'Dados de Entrada'!B21)/(VLOOKUP('Dados de Entrada'!$L$4,'Aoki-Velloso'!$P$4:$S$14,4))*$E$6/100)</f>
      </c>
      <c r="H27" s="137">
        <f t="shared" si="5"/>
      </c>
      <c r="I27" s="137">
        <f t="shared" si="6"/>
      </c>
      <c r="J27" s="174">
        <f t="shared" si="4"/>
      </c>
      <c r="M27" s="301"/>
      <c r="N27" s="301"/>
      <c r="O27" s="301"/>
      <c r="P27" s="301"/>
      <c r="Q27" s="301"/>
      <c r="R27" s="301"/>
    </row>
    <row r="28" spans="1:18" ht="15.75" customHeight="1">
      <c r="A28" s="173">
        <f t="shared" si="1"/>
      </c>
      <c r="B28" s="136">
        <f>IF(A28="","",VLOOKUP('Dados de Entrada'!D22-1,$L$2:$O$19,3)*1000)</f>
      </c>
      <c r="C28" s="136">
        <f>IF(A28="","",VLOOKUP('Dados de Entrada'!D22-1,$L$2:$O$19,4)*0.01)</f>
      </c>
      <c r="D28" s="136">
        <f t="shared" si="2"/>
      </c>
      <c r="E28" s="136">
        <f t="shared" si="3"/>
      </c>
      <c r="F28" s="137">
        <f>IF(A28="","",('Dados de Entrada'!$M$9*0.0001*B28*'Dados de Entrada'!B22)/(VLOOKUP('Dados de Entrada'!$L$4,'Aoki-Velloso'!$P$4:$S$15,3))*$A$6/100)</f>
      </c>
      <c r="G28" s="137">
        <f>IF(A28="","",('Dados de Entrada'!$N$9*0.01)*((VLOOKUP('Dados de Entrada'!D22-1,$L$2:$O$19,4)*0.01)*(VLOOKUP('Dados de Entrada'!D22-1,$L$2:$O$19,3)*1000)*'Dados de Entrada'!B22)/(VLOOKUP('Dados de Entrada'!$L$4,'Aoki-Velloso'!$P$4:$S$14,4))*$E$6/100)</f>
      </c>
      <c r="H28" s="137">
        <f t="shared" si="5"/>
      </c>
      <c r="I28" s="137">
        <f t="shared" si="6"/>
      </c>
      <c r="J28" s="174">
        <f t="shared" si="4"/>
      </c>
      <c r="M28" s="301"/>
      <c r="N28" s="301"/>
      <c r="O28" s="301"/>
      <c r="P28" s="301"/>
      <c r="Q28" s="301"/>
      <c r="R28" s="301"/>
    </row>
    <row r="29" spans="1:18" ht="15.75" customHeight="1">
      <c r="A29" s="173">
        <f aca="true" t="shared" si="7" ref="A29:A47">IF(A28="","",IF($G$4&gt;=A28+1,A28+1,""))</f>
      </c>
      <c r="B29" s="136">
        <f>IF(A29="","",VLOOKUP('Dados de Entrada'!D23-1,$L$2:$O$19,3)*1000)</f>
      </c>
      <c r="C29" s="136">
        <f>IF(A29="","",VLOOKUP('Dados de Entrada'!D23-1,$L$2:$O$19,4)*0.01)</f>
      </c>
      <c r="D29" s="136">
        <f t="shared" si="2"/>
      </c>
      <c r="E29" s="136">
        <f t="shared" si="3"/>
      </c>
      <c r="F29" s="137">
        <f>IF(A29="","",('Dados de Entrada'!$M$9*0.0001*B29*'Dados de Entrada'!B23)/(VLOOKUP('Dados de Entrada'!$L$4,'Aoki-Velloso'!$P$4:$S$15,3))*$A$6/100)</f>
      </c>
      <c r="G29" s="137">
        <f>IF(A29="","",('Dados de Entrada'!$N$9*0.01)*((VLOOKUP('Dados de Entrada'!D23-1,$L$2:$O$19,4)*0.01)*(VLOOKUP('Dados de Entrada'!D23-1,$L$2:$O$19,3)*1000)*'Dados de Entrada'!B23)/(VLOOKUP('Dados de Entrada'!$L$4,'Aoki-Velloso'!$P$4:$S$14,4))*$E$6/100)</f>
      </c>
      <c r="H29" s="137">
        <f t="shared" si="5"/>
      </c>
      <c r="I29" s="137">
        <f t="shared" si="6"/>
      </c>
      <c r="J29" s="174">
        <f t="shared" si="4"/>
      </c>
      <c r="M29" s="301"/>
      <c r="N29" s="301"/>
      <c r="O29" s="301"/>
      <c r="P29" s="301"/>
      <c r="Q29" s="301"/>
      <c r="R29" s="301"/>
    </row>
    <row r="30" spans="1:18" ht="15.75" customHeight="1">
      <c r="A30" s="173">
        <f t="shared" si="7"/>
      </c>
      <c r="B30" s="136">
        <f>IF(A30="","",VLOOKUP('Dados de Entrada'!D24-1,$L$2:$O$19,3)*1000)</f>
      </c>
      <c r="C30" s="136">
        <f>IF(A30="","",VLOOKUP('Dados de Entrada'!D24-1,$L$2:$O$19,4)*0.01)</f>
      </c>
      <c r="D30" s="136">
        <f t="shared" si="2"/>
      </c>
      <c r="E30" s="136">
        <f t="shared" si="3"/>
      </c>
      <c r="F30" s="137">
        <f>IF(A30="","",('Dados de Entrada'!$M$9*0.0001*B30*'Dados de Entrada'!B24)/(VLOOKUP('Dados de Entrada'!$L$4,'Aoki-Velloso'!$P$4:$S$15,3))*$A$6/100)</f>
      </c>
      <c r="G30" s="137">
        <f>IF(A30="","",('Dados de Entrada'!$N$9*0.01)*((VLOOKUP('Dados de Entrada'!D24-1,$L$2:$O$19,4)*0.01)*(VLOOKUP('Dados de Entrada'!D24-1,$L$2:$O$19,3)*1000)*'Dados de Entrada'!B24)/(VLOOKUP('Dados de Entrada'!$L$4,'Aoki-Velloso'!$P$4:$S$14,4))*$E$6/100)</f>
      </c>
      <c r="H30" s="137">
        <f t="shared" si="5"/>
      </c>
      <c r="I30" s="137">
        <f t="shared" si="6"/>
      </c>
      <c r="J30" s="174">
        <f t="shared" si="4"/>
      </c>
      <c r="M30" s="301"/>
      <c r="N30" s="301"/>
      <c r="O30" s="301"/>
      <c r="P30" s="301"/>
      <c r="Q30" s="301"/>
      <c r="R30" s="301"/>
    </row>
    <row r="31" spans="1:18" ht="15.75" customHeight="1">
      <c r="A31" s="173">
        <f t="shared" si="7"/>
      </c>
      <c r="B31" s="136">
        <f>IF(A31="","",VLOOKUP('Dados de Entrada'!D25-1,$L$2:$O$19,3)*1000)</f>
      </c>
      <c r="C31" s="136">
        <f>IF(A31="","",VLOOKUP('Dados de Entrada'!D25-1,$L$2:$O$19,4)*0.01)</f>
      </c>
      <c r="D31" s="136">
        <f t="shared" si="2"/>
      </c>
      <c r="E31" s="136">
        <f t="shared" si="3"/>
      </c>
      <c r="F31" s="137">
        <f>IF(A31="","",('Dados de Entrada'!$M$9*0.0001*B31*'Dados de Entrada'!B25)/(VLOOKUP('Dados de Entrada'!$L$4,'Aoki-Velloso'!$P$4:$S$15,3))*$A$6/100)</f>
      </c>
      <c r="G31" s="137">
        <f>IF(A31="","",('Dados de Entrada'!$N$9*0.01)*((VLOOKUP('Dados de Entrada'!D25-1,$L$2:$O$19,4)*0.01)*(VLOOKUP('Dados de Entrada'!D25-1,$L$2:$O$19,3)*1000)*'Dados de Entrada'!B25)/(VLOOKUP('Dados de Entrada'!$L$4,'Aoki-Velloso'!$P$4:$S$14,4))*$E$6/100)</f>
      </c>
      <c r="H31" s="137">
        <f t="shared" si="5"/>
      </c>
      <c r="I31" s="137">
        <f t="shared" si="6"/>
      </c>
      <c r="J31" s="174">
        <f t="shared" si="4"/>
      </c>
      <c r="M31" s="301"/>
      <c r="N31" s="301"/>
      <c r="O31" s="301"/>
      <c r="P31" s="301"/>
      <c r="Q31" s="301"/>
      <c r="R31" s="301"/>
    </row>
    <row r="32" spans="1:18" ht="15.75" customHeight="1">
      <c r="A32" s="173">
        <f t="shared" si="7"/>
      </c>
      <c r="B32" s="136">
        <f>IF(A32="","",VLOOKUP('Dados de Entrada'!D26-1,$L$2:$O$19,3)*1000)</f>
      </c>
      <c r="C32" s="136">
        <f>IF(A32="","",VLOOKUP('Dados de Entrada'!D26-1,$L$2:$O$19,4)*0.01)</f>
      </c>
      <c r="D32" s="136">
        <f t="shared" si="2"/>
      </c>
      <c r="E32" s="136">
        <f t="shared" si="3"/>
      </c>
      <c r="F32" s="137">
        <f>IF(A32="","",('Dados de Entrada'!$M$9*0.0001*B32*'Dados de Entrada'!B26)/(VLOOKUP('Dados de Entrada'!$L$4,'Aoki-Velloso'!$P$4:$S$15,3))*$A$6/100)</f>
      </c>
      <c r="G32" s="137">
        <f>IF(A32="","",('Dados de Entrada'!$N$9*0.01)*((VLOOKUP('Dados de Entrada'!D26-1,$L$2:$O$19,4)*0.01)*(VLOOKUP('Dados de Entrada'!D26-1,$L$2:$O$19,3)*1000)*'Dados de Entrada'!B26)/(VLOOKUP('Dados de Entrada'!$L$4,'Aoki-Velloso'!$P$4:$S$14,4))*$E$6/100)</f>
      </c>
      <c r="H32" s="137">
        <f t="shared" si="5"/>
      </c>
      <c r="I32" s="137">
        <f t="shared" si="6"/>
      </c>
      <c r="J32" s="174">
        <f t="shared" si="4"/>
      </c>
      <c r="M32" s="301"/>
      <c r="N32" s="301"/>
      <c r="O32" s="301"/>
      <c r="P32" s="301"/>
      <c r="Q32" s="301"/>
      <c r="R32" s="301"/>
    </row>
    <row r="33" spans="1:18" ht="15.75" customHeight="1">
      <c r="A33" s="173">
        <f t="shared" si="7"/>
      </c>
      <c r="B33" s="136">
        <f>IF(A33="","",VLOOKUP('Dados de Entrada'!D27-1,$L$2:$O$19,3)*1000)</f>
      </c>
      <c r="C33" s="136">
        <f>IF(A33="","",VLOOKUP('Dados de Entrada'!D27-1,$L$2:$O$19,4)*0.01)</f>
      </c>
      <c r="D33" s="136">
        <f t="shared" si="2"/>
      </c>
      <c r="E33" s="136">
        <f t="shared" si="3"/>
      </c>
      <c r="F33" s="137">
        <f>IF(A33="","",('Dados de Entrada'!$M$9*0.0001*B33*'Dados de Entrada'!B27)/(VLOOKUP('Dados de Entrada'!$L$4,'Aoki-Velloso'!$P$4:$S$15,3))*$A$6/100)</f>
      </c>
      <c r="G33" s="137">
        <f>IF(A33="","",('Dados de Entrada'!$N$9*0.01)*((VLOOKUP('Dados de Entrada'!D27-1,$L$2:$O$19,4)*0.01)*(VLOOKUP('Dados de Entrada'!D27-1,$L$2:$O$19,3)*1000)*'Dados de Entrada'!B27)/(VLOOKUP('Dados de Entrada'!$L$4,'Aoki-Velloso'!$P$4:$S$14,4))*$E$6/100)</f>
      </c>
      <c r="H33" s="137">
        <f t="shared" si="5"/>
      </c>
      <c r="I33" s="137">
        <f t="shared" si="6"/>
      </c>
      <c r="J33" s="174">
        <f t="shared" si="4"/>
      </c>
      <c r="M33" s="301"/>
      <c r="N33" s="301"/>
      <c r="O33" s="301"/>
      <c r="P33" s="301"/>
      <c r="Q33" s="301"/>
      <c r="R33" s="301"/>
    </row>
    <row r="34" spans="1:18" ht="15.75" customHeight="1">
      <c r="A34" s="173">
        <f t="shared" si="7"/>
      </c>
      <c r="B34" s="136">
        <f>IF(A34="","",VLOOKUP('Dados de Entrada'!D28-1,$L$2:$O$19,3)*1000)</f>
      </c>
      <c r="C34" s="136">
        <f>IF(A34="","",VLOOKUP('Dados de Entrada'!D28-1,$L$2:$O$19,4)*0.01)</f>
      </c>
      <c r="D34" s="136">
        <f t="shared" si="2"/>
      </c>
      <c r="E34" s="136">
        <f t="shared" si="3"/>
      </c>
      <c r="F34" s="137">
        <f>IF(A34="","",('Dados de Entrada'!$M$9*0.0001*B34*'Dados de Entrada'!B28)/(VLOOKUP('Dados de Entrada'!$L$4,'Aoki-Velloso'!$P$4:$S$15,3))*$A$6/100)</f>
      </c>
      <c r="G34" s="137">
        <f>IF(A34="","",('Dados de Entrada'!$N$9*0.01)*((VLOOKUP('Dados de Entrada'!D28-1,$L$2:$O$19,4)*0.01)*(VLOOKUP('Dados de Entrada'!D28-1,$L$2:$O$19,3)*1000)*'Dados de Entrada'!B28)/(VLOOKUP('Dados de Entrada'!$L$4,'Aoki-Velloso'!$P$4:$S$14,4))*$E$6/100)</f>
      </c>
      <c r="H34" s="137">
        <f t="shared" si="5"/>
      </c>
      <c r="I34" s="137">
        <f t="shared" si="6"/>
      </c>
      <c r="J34" s="174">
        <f t="shared" si="4"/>
      </c>
      <c r="M34" s="301"/>
      <c r="N34" s="301"/>
      <c r="O34" s="301"/>
      <c r="P34" s="301"/>
      <c r="Q34" s="301"/>
      <c r="R34" s="301"/>
    </row>
    <row r="35" spans="1:18" ht="15.75" customHeight="1">
      <c r="A35" s="173">
        <f t="shared" si="7"/>
      </c>
      <c r="B35" s="136">
        <f>IF(A35="","",VLOOKUP('Dados de Entrada'!D29-1,$L$2:$O$19,3)*1000)</f>
      </c>
      <c r="C35" s="136">
        <f>IF(A35="","",VLOOKUP('Dados de Entrada'!D29-1,$L$2:$O$19,4)*0.01)</f>
      </c>
      <c r="D35" s="136">
        <f t="shared" si="2"/>
      </c>
      <c r="E35" s="136">
        <f t="shared" si="3"/>
      </c>
      <c r="F35" s="137">
        <f>IF(A35="","",('Dados de Entrada'!$M$9*0.0001*B35*'Dados de Entrada'!B29)/(VLOOKUP('Dados de Entrada'!$L$4,'Aoki-Velloso'!$P$4:$S$15,3))*$A$6/100)</f>
      </c>
      <c r="G35" s="137">
        <f>IF(A35="","",('Dados de Entrada'!$N$9*0.01)*((VLOOKUP('Dados de Entrada'!D29-1,$L$2:$O$19,4)*0.01)*(VLOOKUP('Dados de Entrada'!D29-1,$L$2:$O$19,3)*1000)*'Dados de Entrada'!B29)/(VLOOKUP('Dados de Entrada'!$L$4,'Aoki-Velloso'!$P$4:$S$14,4))*$E$6/100)</f>
      </c>
      <c r="H35" s="137">
        <f t="shared" si="5"/>
      </c>
      <c r="I35" s="137">
        <f t="shared" si="6"/>
      </c>
      <c r="J35" s="174">
        <f t="shared" si="4"/>
      </c>
      <c r="M35" s="301"/>
      <c r="N35" s="301"/>
      <c r="O35" s="301"/>
      <c r="P35" s="301"/>
      <c r="Q35" s="301"/>
      <c r="R35" s="301"/>
    </row>
    <row r="36" spans="1:18" ht="15.75" customHeight="1">
      <c r="A36" s="173">
        <f t="shared" si="7"/>
      </c>
      <c r="B36" s="136">
        <f>IF(A36="","",VLOOKUP('Dados de Entrada'!D30-1,$L$2:$O$19,3)*1000)</f>
      </c>
      <c r="C36" s="136">
        <f>IF(A36="","",VLOOKUP('Dados de Entrada'!D30-1,$L$2:$O$19,4)*0.01)</f>
      </c>
      <c r="D36" s="136">
        <f t="shared" si="2"/>
      </c>
      <c r="E36" s="136">
        <f t="shared" si="3"/>
      </c>
      <c r="F36" s="137">
        <f>IF(A36="","",('Dados de Entrada'!$M$9*0.0001*B36*'Dados de Entrada'!B30)/(VLOOKUP('Dados de Entrada'!$L$4,'Aoki-Velloso'!$P$4:$S$15,3))*$A$6/100)</f>
      </c>
      <c r="G36" s="137">
        <f>IF(A36="","",('Dados de Entrada'!$N$9*0.01)*((VLOOKUP('Dados de Entrada'!D30-1,$L$2:$O$19,4)*0.01)*(VLOOKUP('Dados de Entrada'!D30-1,$L$2:$O$19,3)*1000)*'Dados de Entrada'!B30)/(VLOOKUP('Dados de Entrada'!$L$4,'Aoki-Velloso'!$P$4:$S$14,4))*$E$6/100)</f>
      </c>
      <c r="H36" s="137">
        <f t="shared" si="5"/>
      </c>
      <c r="I36" s="137">
        <f t="shared" si="6"/>
      </c>
      <c r="J36" s="174">
        <f t="shared" si="4"/>
      </c>
      <c r="M36" s="301"/>
      <c r="N36" s="301"/>
      <c r="O36" s="301"/>
      <c r="P36" s="301"/>
      <c r="Q36" s="301"/>
      <c r="R36" s="301"/>
    </row>
    <row r="37" spans="1:18" ht="15.75" customHeight="1">
      <c r="A37" s="173">
        <f t="shared" si="7"/>
      </c>
      <c r="B37" s="136">
        <f>IF(A37="","",VLOOKUP('Dados de Entrada'!D31-1,$L$2:$O$19,3)*1000)</f>
      </c>
      <c r="C37" s="136">
        <f>IF(A37="","",VLOOKUP('Dados de Entrada'!D31-1,$L$2:$O$19,4)*0.01)</f>
      </c>
      <c r="D37" s="136">
        <f t="shared" si="2"/>
      </c>
      <c r="E37" s="136">
        <f t="shared" si="3"/>
      </c>
      <c r="F37" s="137">
        <f>IF(A37="","",('Dados de Entrada'!$M$9*0.0001*B37*'Dados de Entrada'!B31)/(VLOOKUP('Dados de Entrada'!$L$4,'Aoki-Velloso'!$P$4:$S$15,3))*$A$6/100)</f>
      </c>
      <c r="G37" s="137">
        <f>IF(A37="","",('Dados de Entrada'!$N$9*0.01)*((VLOOKUP('Dados de Entrada'!D31-1,$L$2:$O$19,4)*0.01)*(VLOOKUP('Dados de Entrada'!D31-1,$L$2:$O$19,3)*1000)*'Dados de Entrada'!B31)/(VLOOKUP('Dados de Entrada'!$L$4,'Aoki-Velloso'!$P$4:$S$14,4))*$E$6/100)</f>
      </c>
      <c r="H37" s="137">
        <f t="shared" si="5"/>
      </c>
      <c r="I37" s="137">
        <f t="shared" si="6"/>
      </c>
      <c r="J37" s="174">
        <f t="shared" si="4"/>
      </c>
      <c r="M37" s="301"/>
      <c r="N37" s="301"/>
      <c r="O37" s="301"/>
      <c r="P37" s="301"/>
      <c r="Q37" s="301"/>
      <c r="R37" s="301"/>
    </row>
    <row r="38" spans="1:18" ht="15.75" customHeight="1">
      <c r="A38" s="173">
        <f t="shared" si="7"/>
      </c>
      <c r="B38" s="136">
        <f>IF(A38="","",VLOOKUP('Dados de Entrada'!D32-1,$L$2:$O$19,3)*1000)</f>
      </c>
      <c r="C38" s="136">
        <f>IF(A38="","",VLOOKUP('Dados de Entrada'!D32-1,$L$2:$O$19,4)*0.01)</f>
      </c>
      <c r="D38" s="136">
        <f t="shared" si="2"/>
      </c>
      <c r="E38" s="136">
        <f t="shared" si="3"/>
      </c>
      <c r="F38" s="137">
        <f>IF(A38="","",('Dados de Entrada'!$M$9*0.0001*B38*'Dados de Entrada'!B32)/(VLOOKUP('Dados de Entrada'!$L$4,'Aoki-Velloso'!$P$4:$S$15,3))*$A$6/100)</f>
      </c>
      <c r="G38" s="137">
        <f>IF(A38="","",('Dados de Entrada'!$N$9*0.01)*((VLOOKUP('Dados de Entrada'!D32-1,$L$2:$O$19,4)*0.01)*(VLOOKUP('Dados de Entrada'!D32-1,$L$2:$O$19,3)*1000)*'Dados de Entrada'!B32)/(VLOOKUP('Dados de Entrada'!$L$4,'Aoki-Velloso'!$P$4:$S$14,4))*$E$6/100)</f>
      </c>
      <c r="H38" s="137">
        <f t="shared" si="5"/>
      </c>
      <c r="I38" s="137">
        <f t="shared" si="6"/>
      </c>
      <c r="J38" s="174">
        <f t="shared" si="4"/>
      </c>
      <c r="M38" s="301"/>
      <c r="N38" s="301"/>
      <c r="O38" s="301"/>
      <c r="P38" s="301"/>
      <c r="Q38" s="301"/>
      <c r="R38" s="301"/>
    </row>
    <row r="39" spans="1:10" ht="15.75" customHeight="1">
      <c r="A39" s="173">
        <f t="shared" si="7"/>
      </c>
      <c r="B39" s="136">
        <f>IF(A39="","",VLOOKUP('Dados de Entrada'!D33-1,$L$2:$O$19,3)*1000)</f>
      </c>
      <c r="C39" s="136">
        <f>IF(A39="","",VLOOKUP('Dados de Entrada'!D33-1,$L$2:$O$19,4)*0.01)</f>
      </c>
      <c r="D39" s="136">
        <f t="shared" si="2"/>
      </c>
      <c r="E39" s="136">
        <f t="shared" si="3"/>
      </c>
      <c r="F39" s="137">
        <f>IF(A39="","",('Dados de Entrada'!$M$9*0.0001*B39*'Dados de Entrada'!B33)/(VLOOKUP('Dados de Entrada'!$L$4,'Aoki-Velloso'!$P$4:$S$15,3))*$A$6/100)</f>
      </c>
      <c r="G39" s="137">
        <f>IF(A39="","",('Dados de Entrada'!$N$9*0.01)*((VLOOKUP('Dados de Entrada'!D33-1,$L$2:$O$19,4)*0.01)*(VLOOKUP('Dados de Entrada'!D33-1,$L$2:$O$19,3)*1000)*'Dados de Entrada'!B33)/(VLOOKUP('Dados de Entrada'!$L$4,'Aoki-Velloso'!$P$4:$S$14,4))*$E$6/100)</f>
      </c>
      <c r="H39" s="137">
        <f t="shared" si="5"/>
      </c>
      <c r="I39" s="137">
        <f t="shared" si="6"/>
      </c>
      <c r="J39" s="174">
        <f t="shared" si="4"/>
      </c>
    </row>
    <row r="40" spans="1:10" ht="15.75" customHeight="1">
      <c r="A40" s="173">
        <f t="shared" si="7"/>
      </c>
      <c r="B40" s="136">
        <f>IF(A40="","",VLOOKUP('Dados de Entrada'!D34-1,$L$2:$O$19,3)*1000)</f>
      </c>
      <c r="C40" s="136">
        <f>IF(A40="","",VLOOKUP('Dados de Entrada'!D34-1,$L$2:$O$19,4)*0.01)</f>
      </c>
      <c r="D40" s="136">
        <f t="shared" si="2"/>
      </c>
      <c r="E40" s="136">
        <f t="shared" si="3"/>
      </c>
      <c r="F40" s="137">
        <f>IF(A40="","",('Dados de Entrada'!$M$9*0.0001*B40*'Dados de Entrada'!B34)/(VLOOKUP('Dados de Entrada'!$L$4,'Aoki-Velloso'!$P$4:$S$15,3))*$A$6/100)</f>
      </c>
      <c r="G40" s="137">
        <f>IF(A40="","",('Dados de Entrada'!$N$9*0.01)*((VLOOKUP('Dados de Entrada'!D34-1,$L$2:$O$19,4)*0.01)*(VLOOKUP('Dados de Entrada'!D34-1,$L$2:$O$19,3)*1000)*'Dados de Entrada'!B34)/(VLOOKUP('Dados de Entrada'!$L$4,'Aoki-Velloso'!$P$4:$S$14,4))*$E$6/100)</f>
      </c>
      <c r="H40" s="137">
        <f t="shared" si="5"/>
      </c>
      <c r="I40" s="137">
        <f t="shared" si="6"/>
      </c>
      <c r="J40" s="174">
        <f t="shared" si="4"/>
      </c>
    </row>
    <row r="41" spans="1:10" ht="15.75" customHeight="1">
      <c r="A41" s="173">
        <f t="shared" si="7"/>
      </c>
      <c r="B41" s="136">
        <f>IF(A41="","",VLOOKUP('Dados de Entrada'!D35-1,$L$2:$O$19,3)*1000)</f>
      </c>
      <c r="C41" s="136">
        <f>IF(A41="","",VLOOKUP('Dados de Entrada'!D35-1,$L$2:$O$19,4)*0.01)</f>
      </c>
      <c r="D41" s="136">
        <f t="shared" si="2"/>
      </c>
      <c r="E41" s="136">
        <f t="shared" si="3"/>
      </c>
      <c r="F41" s="137">
        <f>IF(A41="","",('Dados de Entrada'!$M$9*0.0001*B41*'Dados de Entrada'!B35)/(VLOOKUP('Dados de Entrada'!$L$4,'Aoki-Velloso'!$P$4:$S$15,3))*$A$6/100)</f>
      </c>
      <c r="G41" s="137">
        <f>IF(A41="","",('Dados de Entrada'!$N$9*0.01)*((VLOOKUP('Dados de Entrada'!D35-1,$L$2:$O$19,4)*0.01)*(VLOOKUP('Dados de Entrada'!D35-1,$L$2:$O$19,3)*1000)*'Dados de Entrada'!B35)/(VLOOKUP('Dados de Entrada'!$L$4,'Aoki-Velloso'!$P$4:$S$14,4))*$E$6/100)</f>
      </c>
      <c r="H41" s="137">
        <f t="shared" si="5"/>
      </c>
      <c r="I41" s="137">
        <f t="shared" si="6"/>
      </c>
      <c r="J41" s="174">
        <f t="shared" si="4"/>
      </c>
    </row>
    <row r="42" spans="1:10" ht="15.75" customHeight="1">
      <c r="A42" s="173">
        <f t="shared" si="7"/>
      </c>
      <c r="B42" s="136">
        <f>IF(A42="","",VLOOKUP('Dados de Entrada'!D36-1,$L$2:$O$19,3)*1000)</f>
      </c>
      <c r="C42" s="136">
        <f>IF(A42="","",VLOOKUP('Dados de Entrada'!D36-1,$L$2:$O$19,4)*0.01)</f>
      </c>
      <c r="D42" s="136">
        <f t="shared" si="2"/>
      </c>
      <c r="E42" s="136">
        <f t="shared" si="3"/>
      </c>
      <c r="F42" s="137">
        <f>IF(A42="","",('Dados de Entrada'!$M$9*0.0001*B42*'Dados de Entrada'!B36)/(VLOOKUP('Dados de Entrada'!$L$4,'Aoki-Velloso'!$P$4:$S$15,3))*$A$6/100)</f>
      </c>
      <c r="G42" s="137">
        <f>IF(A42="","",('Dados de Entrada'!$N$9*0.01)*((VLOOKUP('Dados de Entrada'!D36-1,$L$2:$O$19,4)*0.01)*(VLOOKUP('Dados de Entrada'!D36-1,$L$2:$O$19,3)*1000)*'Dados de Entrada'!B36)/(VLOOKUP('Dados de Entrada'!$L$4,'Aoki-Velloso'!$P$4:$S$14,4))*$E$6/100)</f>
      </c>
      <c r="H42" s="137">
        <f t="shared" si="5"/>
      </c>
      <c r="I42" s="137">
        <f t="shared" si="6"/>
      </c>
      <c r="J42" s="174">
        <f t="shared" si="4"/>
      </c>
    </row>
    <row r="43" spans="1:10" ht="15.75" customHeight="1">
      <c r="A43" s="173">
        <f t="shared" si="7"/>
      </c>
      <c r="B43" s="136">
        <f>IF(A43="","",VLOOKUP('Dados de Entrada'!D37-1,$L$2:$O$19,3)*1000)</f>
      </c>
      <c r="C43" s="136">
        <f>IF(A43="","",VLOOKUP('Dados de Entrada'!D37-1,$L$2:$O$19,4)*0.01)</f>
      </c>
      <c r="D43" s="136">
        <f t="shared" si="2"/>
      </c>
      <c r="E43" s="136">
        <f t="shared" si="3"/>
      </c>
      <c r="F43" s="137">
        <f>IF(A43="","",('Dados de Entrada'!$M$9*0.0001*B43*'Dados de Entrada'!B37)/(VLOOKUP('Dados de Entrada'!$L$4,'Aoki-Velloso'!$P$4:$S$15,3))*$A$6/100)</f>
      </c>
      <c r="G43" s="137">
        <f>IF(A43="","",('Dados de Entrada'!$N$9*0.01)*((VLOOKUP('Dados de Entrada'!D37-1,$L$2:$O$19,4)*0.01)*(VLOOKUP('Dados de Entrada'!D37-1,$L$2:$O$19,3)*1000)*'Dados de Entrada'!B37)/(VLOOKUP('Dados de Entrada'!$L$4,'Aoki-Velloso'!$P$4:$S$14,4))*$E$6/100)</f>
      </c>
      <c r="H43" s="137">
        <f t="shared" si="5"/>
      </c>
      <c r="I43" s="137">
        <f t="shared" si="6"/>
      </c>
      <c r="J43" s="174">
        <f t="shared" si="4"/>
      </c>
    </row>
    <row r="44" spans="1:10" ht="15.75" customHeight="1">
      <c r="A44" s="173">
        <f t="shared" si="7"/>
      </c>
      <c r="B44" s="136">
        <f>IF(A44="","",VLOOKUP('Dados de Entrada'!D38-1,$L$2:$O$19,3)*1000)</f>
      </c>
      <c r="C44" s="136">
        <f>IF(A44="","",VLOOKUP('Dados de Entrada'!D38-1,$L$2:$O$19,4)*0.01)</f>
      </c>
      <c r="D44" s="136">
        <f t="shared" si="2"/>
      </c>
      <c r="E44" s="136">
        <f t="shared" si="3"/>
      </c>
      <c r="F44" s="137">
        <f>IF(A44="","",('Dados de Entrada'!$M$9*0.0001*B44*'Dados de Entrada'!B38)/(VLOOKUP('Dados de Entrada'!$L$4,'Aoki-Velloso'!$P$4:$S$15,3))*$A$6/100)</f>
      </c>
      <c r="G44" s="137">
        <f>IF(A44="","",('Dados de Entrada'!$N$9*0.01)*((VLOOKUP('Dados de Entrada'!D38-1,$L$2:$O$19,4)*0.01)*(VLOOKUP('Dados de Entrada'!D38-1,$L$2:$O$19,3)*1000)*'Dados de Entrada'!B38)/(VLOOKUP('Dados de Entrada'!$L$4,'Aoki-Velloso'!$P$4:$S$14,4))*$E$6/100)</f>
      </c>
      <c r="H44" s="137">
        <f t="shared" si="5"/>
      </c>
      <c r="I44" s="137">
        <f t="shared" si="6"/>
      </c>
      <c r="J44" s="174">
        <f t="shared" si="4"/>
      </c>
    </row>
    <row r="45" spans="1:10" ht="15.75" customHeight="1">
      <c r="A45" s="173">
        <f t="shared" si="7"/>
      </c>
      <c r="B45" s="136">
        <f>IF(A45="","",VLOOKUP('Dados de Entrada'!D39-1,$L$2:$O$19,3)*1000)</f>
      </c>
      <c r="C45" s="136">
        <f>IF(A45="","",VLOOKUP('Dados de Entrada'!D39-1,$L$2:$O$19,4)*0.01)</f>
      </c>
      <c r="D45" s="136">
        <f t="shared" si="2"/>
      </c>
      <c r="E45" s="136">
        <f t="shared" si="3"/>
      </c>
      <c r="F45" s="137">
        <f>IF(A45="","",('Dados de Entrada'!$M$9*0.0001*B45*'Dados de Entrada'!B39)/(VLOOKUP('Dados de Entrada'!$L$4,'Aoki-Velloso'!$P$4:$S$15,3))*$A$6/100)</f>
      </c>
      <c r="G45" s="137">
        <f>IF(A45="","",('Dados de Entrada'!$N$9*0.01)*((VLOOKUP('Dados de Entrada'!D39-1,$L$2:$O$19,4)*0.01)*(VLOOKUP('Dados de Entrada'!D39-1,$L$2:$O$19,3)*1000)*'Dados de Entrada'!B39)/(VLOOKUP('Dados de Entrada'!$L$4,'Aoki-Velloso'!$P$4:$S$14,4))*$E$6/100)</f>
      </c>
      <c r="H45" s="137">
        <f t="shared" si="5"/>
      </c>
      <c r="I45" s="137">
        <f t="shared" si="6"/>
      </c>
      <c r="J45" s="174">
        <f t="shared" si="4"/>
      </c>
    </row>
    <row r="46" spans="1:10" ht="15.75" customHeight="1">
      <c r="A46" s="173">
        <f t="shared" si="7"/>
      </c>
      <c r="B46" s="136">
        <f>IF(A46="","",VLOOKUP('Dados de Entrada'!D40-1,$L$2:$O$19,3)*1000)</f>
      </c>
      <c r="C46" s="136">
        <f>IF(A46="","",VLOOKUP('Dados de Entrada'!D40-1,$L$2:$O$19,4)*0.01)</f>
      </c>
      <c r="D46" s="136">
        <f t="shared" si="2"/>
      </c>
      <c r="E46" s="136">
        <f t="shared" si="3"/>
      </c>
      <c r="F46" s="137">
        <f>IF(A46="","",('Dados de Entrada'!$M$9*0.0001*B46*'Dados de Entrada'!B40)/(VLOOKUP('Dados de Entrada'!$L$4,'Aoki-Velloso'!$P$4:$S$15,3))*$A$6/100)</f>
      </c>
      <c r="G46" s="137">
        <f>IF(A46="","",('Dados de Entrada'!$N$9*0.01)*((VLOOKUP('Dados de Entrada'!D40-1,$L$2:$O$19,4)*0.01)*(VLOOKUP('Dados de Entrada'!D40-1,$L$2:$O$19,3)*1000)*'Dados de Entrada'!B40)/(VLOOKUP('Dados de Entrada'!$L$4,'Aoki-Velloso'!$P$4:$S$14,4))*$E$6/100)</f>
      </c>
      <c r="H46" s="137">
        <f t="shared" si="5"/>
      </c>
      <c r="I46" s="137">
        <f t="shared" si="6"/>
      </c>
      <c r="J46" s="174">
        <f t="shared" si="4"/>
      </c>
    </row>
    <row r="47" spans="1:10" ht="15.75" customHeight="1">
      <c r="A47" s="173">
        <f t="shared" si="7"/>
      </c>
      <c r="B47" s="136">
        <f>IF(A47="","",VLOOKUP('Dados de Entrada'!D41-1,$L$2:$O$19,3)*1000)</f>
      </c>
      <c r="C47" s="136">
        <f>IF(A47="","",VLOOKUP('Dados de Entrada'!D41-1,$L$2:$O$19,4)*0.01)</f>
      </c>
      <c r="D47" s="136">
        <f t="shared" si="2"/>
      </c>
      <c r="E47" s="136">
        <f t="shared" si="3"/>
      </c>
      <c r="F47" s="137">
        <f>IF(A47="","",('Dados de Entrada'!$M$9*0.0001*B47*'Dados de Entrada'!B41)/(VLOOKUP('Dados de Entrada'!$L$4,'Aoki-Velloso'!$P$4:$S$15,3))*$A$6/100)</f>
      </c>
      <c r="G47" s="137">
        <f>IF(A47="","",('Dados de Entrada'!$N$9*0.01)*((VLOOKUP('Dados de Entrada'!D41-1,$L$2:$O$19,4)*0.01)*(VLOOKUP('Dados de Entrada'!D41-1,$L$2:$O$19,3)*1000)*'Dados de Entrada'!B41)/(VLOOKUP('Dados de Entrada'!$L$4,'Aoki-Velloso'!$P$4:$S$14,4))*$E$6/100)</f>
      </c>
      <c r="H47" s="137">
        <f t="shared" si="5"/>
      </c>
      <c r="I47" s="137">
        <f t="shared" si="6"/>
      </c>
      <c r="J47" s="174">
        <f t="shared" si="4"/>
      </c>
    </row>
    <row r="48" spans="1:10" ht="15.75" customHeight="1" thickBot="1">
      <c r="A48" s="175">
        <f>IF(A47="","",IF($G$4&gt;=A47+1,A47+1,""))</f>
      </c>
      <c r="B48" s="176">
        <f>IF(A48="","",VLOOKUP('Dados de Entrada'!D42-1,$L$2:$O$19,3)*1000)</f>
      </c>
      <c r="C48" s="176">
        <f>IF(A48="","",VLOOKUP('Dados de Entrada'!D42-1,$L$2:$O$19,4)*0.01)</f>
      </c>
      <c r="D48" s="176">
        <f t="shared" si="2"/>
      </c>
      <c r="E48" s="176">
        <f t="shared" si="3"/>
      </c>
      <c r="F48" s="177">
        <f>IF(A48="","",('Dados de Entrada'!$M$9*0.0001*B48*'Dados de Entrada'!B42)/(VLOOKUP('Dados de Entrada'!$L$4,'Aoki-Velloso'!$P$4:$S$15,3))*$A$6/100)</f>
      </c>
      <c r="G48" s="177">
        <f>IF(A48="","",('Dados de Entrada'!$N$9*0.01)*((VLOOKUP('Dados de Entrada'!D42-1,$L$2:$O$19,4)*0.01)*(VLOOKUP('Dados de Entrada'!D42-1,$L$2:$O$19,3)*1000)*'Dados de Entrada'!B42)/(VLOOKUP('Dados de Entrada'!$L$4,'Aoki-Velloso'!$P$4:$S$14,4))*$E$6/100)</f>
      </c>
      <c r="H48" s="177">
        <f t="shared" si="5"/>
      </c>
      <c r="I48" s="177">
        <f t="shared" si="6"/>
      </c>
      <c r="J48" s="178">
        <f t="shared" si="4"/>
      </c>
    </row>
    <row r="49" spans="1:10" ht="15">
      <c r="A49" s="179"/>
      <c r="B49" s="179"/>
      <c r="C49" s="179"/>
      <c r="D49" s="179"/>
      <c r="E49" s="179"/>
      <c r="F49" s="179"/>
      <c r="G49" s="179"/>
      <c r="H49" s="179"/>
      <c r="I49" s="179"/>
      <c r="J49" s="179"/>
    </row>
  </sheetData>
  <sheetProtection selectLockedCells="1" selectUnlockedCells="1"/>
  <mergeCells count="9">
    <mergeCell ref="A7:J7"/>
    <mergeCell ref="A2:H2"/>
    <mergeCell ref="A1:J1"/>
    <mergeCell ref="B4:E4"/>
    <mergeCell ref="B3:E3"/>
    <mergeCell ref="A5:D5"/>
    <mergeCell ref="A6:D6"/>
    <mergeCell ref="E5:G5"/>
    <mergeCell ref="E6:G6"/>
  </mergeCells>
  <conditionalFormatting sqref="A9">
    <cfRule type="cellIs" priority="6" dxfId="3" operator="between">
      <formula>0</formula>
      <formula>51</formula>
    </cfRule>
  </conditionalFormatting>
  <conditionalFormatting sqref="A10:A48">
    <cfRule type="cellIs" priority="4" dxfId="19" operator="lessThanOrEqual">
      <formula>$G$4</formula>
    </cfRule>
  </conditionalFormatting>
  <conditionalFormatting sqref="C70:F70">
    <cfRule type="cellIs" priority="3" dxfId="11" operator="greaterThan">
      <formula>0</formula>
    </cfRule>
  </conditionalFormatting>
  <conditionalFormatting sqref="B9:I48">
    <cfRule type="cellIs" priority="2" dxfId="20" operator="between">
      <formula>0</formula>
      <formula>9999999</formula>
    </cfRule>
  </conditionalFormatting>
  <conditionalFormatting sqref="J9:J48">
    <cfRule type="cellIs" priority="1" dxfId="21" operator="between">
      <formula>0</formula>
      <formula>9999999</formula>
    </cfRule>
  </conditionalFormatting>
  <printOptions/>
  <pageMargins left="0.511811024" right="0.511811024" top="0.787401575" bottom="0.787401575" header="0.31496062" footer="0.31496062"/>
  <pageSetup horizontalDpi="300" verticalDpi="300" orientation="portrait" paperSize="9" r:id="rId4"/>
  <headerFooter>
    <oddHeader>&amp;C&amp;"-,Negrito itálico"&amp;14ESTIMATIVA DA CAPACIDADE DE CARGA DE UMA ESTACA&amp;"-,Itálico"&amp;12Método de Aoki-Velloso (1975)</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Plan4"/>
  <dimension ref="A1:Z104"/>
  <sheetViews>
    <sheetView showGridLines="0" showRowColHeaders="0" zoomScalePageLayoutView="0" workbookViewId="0" topLeftCell="A1">
      <pane ySplit="11" topLeftCell="A12" activePane="bottomLeft" state="frozen"/>
      <selection pane="topLeft" activeCell="A1" sqref="A1"/>
      <selection pane="bottomLeft" activeCell="G14" sqref="G14"/>
    </sheetView>
  </sheetViews>
  <sheetFormatPr defaultColWidth="9.00390625" defaultRowHeight="15"/>
  <cols>
    <col min="1" max="1" width="16.8515625" style="0" customWidth="1"/>
    <col min="2" max="4" width="9.57421875" style="0" customWidth="1"/>
    <col min="5" max="5" width="15.7109375" style="0" customWidth="1"/>
    <col min="6" max="6" width="12.140625" style="0" customWidth="1"/>
    <col min="7" max="7" width="14.8515625" style="28" customWidth="1"/>
    <col min="8" max="8" width="13.140625" style="28" customWidth="1"/>
    <col min="9" max="9" width="11.7109375" style="28" customWidth="1"/>
    <col min="10" max="10" width="12.421875" style="28" customWidth="1"/>
    <col min="11" max="11" width="15.140625" style="28" customWidth="1"/>
    <col min="12" max="12" width="9.00390625" style="0" customWidth="1"/>
    <col min="13" max="13" width="11.7109375" style="28" customWidth="1"/>
    <col min="14" max="14" width="20.421875" style="0" customWidth="1"/>
    <col min="15" max="17" width="9.00390625" style="0" customWidth="1"/>
  </cols>
  <sheetData>
    <row r="1" spans="1:26" ht="21.75" thickBot="1">
      <c r="A1" s="418" t="s">
        <v>193</v>
      </c>
      <c r="B1" s="419"/>
      <c r="C1" s="419"/>
      <c r="D1" s="419"/>
      <c r="E1" s="419"/>
      <c r="F1" s="419"/>
      <c r="G1" s="419"/>
      <c r="H1" s="419"/>
      <c r="I1" s="419"/>
      <c r="J1" s="419"/>
      <c r="K1" s="420"/>
      <c r="L1" s="311"/>
      <c r="M1" s="313"/>
      <c r="N1" s="311"/>
      <c r="O1" s="311"/>
      <c r="P1" s="311"/>
      <c r="Q1" s="311"/>
      <c r="R1" s="311"/>
      <c r="S1" s="311"/>
      <c r="T1" s="311"/>
      <c r="U1" s="311"/>
      <c r="V1" s="311"/>
      <c r="W1" s="311"/>
      <c r="X1" s="311"/>
      <c r="Y1" s="311"/>
      <c r="Z1" s="311"/>
    </row>
    <row r="2" spans="1:26" ht="15.75">
      <c r="A2" s="421" t="s">
        <v>119</v>
      </c>
      <c r="B2" s="422"/>
      <c r="C2" s="422"/>
      <c r="D2" s="422"/>
      <c r="E2" s="422"/>
      <c r="F2" s="422"/>
      <c r="G2" s="422"/>
      <c r="H2" s="422"/>
      <c r="I2" s="422"/>
      <c r="J2"/>
      <c r="K2"/>
      <c r="L2" s="311"/>
      <c r="M2" s="313"/>
      <c r="N2" s="311"/>
      <c r="O2" s="311"/>
      <c r="P2" s="311"/>
      <c r="Q2" s="311"/>
      <c r="R2" s="311"/>
      <c r="S2" s="311"/>
      <c r="T2" s="311"/>
      <c r="U2" s="311"/>
      <c r="V2" s="311"/>
      <c r="W2" s="311"/>
      <c r="X2" s="311"/>
      <c r="Y2" s="311"/>
      <c r="Z2" s="311"/>
    </row>
    <row r="3" spans="1:26" ht="15">
      <c r="A3" s="220" t="s">
        <v>89</v>
      </c>
      <c r="B3" s="438" t="s">
        <v>76</v>
      </c>
      <c r="C3" s="439"/>
      <c r="D3" s="440"/>
      <c r="E3" s="220" t="s">
        <v>29</v>
      </c>
      <c r="F3" s="220" t="s">
        <v>117</v>
      </c>
      <c r="G3" s="220" t="s">
        <v>118</v>
      </c>
      <c r="H3" s="416" t="s">
        <v>90</v>
      </c>
      <c r="I3" s="416"/>
      <c r="L3" s="311"/>
      <c r="M3" s="313"/>
      <c r="N3" s="311"/>
      <c r="O3" s="311"/>
      <c r="P3" s="311"/>
      <c r="Q3" s="311"/>
      <c r="R3" s="311"/>
      <c r="S3" s="311"/>
      <c r="T3" s="311"/>
      <c r="U3" s="311"/>
      <c r="V3" s="311"/>
      <c r="W3" s="311"/>
      <c r="X3" s="311"/>
      <c r="Y3" s="311"/>
      <c r="Z3" s="311"/>
    </row>
    <row r="4" spans="1:26" ht="15">
      <c r="A4" s="221" t="str">
        <f>IF('Dados de Entrada'!$K$4=1,"Pré-Moldada","Moldada in-loco")</f>
        <v>Moldada in-loco</v>
      </c>
      <c r="B4" s="441" t="str">
        <f>VLOOKUP('Dados de Entrada'!$L$4,'Dados de Entrada'!$R$6:$T$16,3)</f>
        <v>Escavada</v>
      </c>
      <c r="C4" s="442"/>
      <c r="D4" s="443"/>
      <c r="E4" s="221">
        <f>'Dados de Entrada'!$M$3</f>
        <v>25</v>
      </c>
      <c r="F4" s="73">
        <f>'Dados de Entrada'!$M$9*0.0001</f>
        <v>0.049087385212340524</v>
      </c>
      <c r="G4" s="74">
        <f>'Dados de Entrada'!$N$9*0.01</f>
        <v>0.7853981633974483</v>
      </c>
      <c r="H4" s="425">
        <f>'Dados de Entrada'!$N$3</f>
        <v>15</v>
      </c>
      <c r="I4" s="425"/>
      <c r="L4" s="311"/>
      <c r="M4" s="313"/>
      <c r="N4" s="311"/>
      <c r="O4" s="311"/>
      <c r="P4" s="311"/>
      <c r="Q4" s="311"/>
      <c r="R4" s="314"/>
      <c r="S4" s="311"/>
      <c r="T4" s="311"/>
      <c r="U4" s="311"/>
      <c r="V4" s="311"/>
      <c r="W4" s="311"/>
      <c r="X4" s="311"/>
      <c r="Y4" s="311"/>
      <c r="Z4" s="311"/>
    </row>
    <row r="5" spans="1:26" ht="6" customHeight="1" thickBot="1">
      <c r="A5" s="40"/>
      <c r="B5" s="40"/>
      <c r="C5" s="40"/>
      <c r="D5" s="40"/>
      <c r="E5" s="41"/>
      <c r="F5" s="40"/>
      <c r="G5" s="42"/>
      <c r="H5" s="42"/>
      <c r="I5" s="40"/>
      <c r="L5" s="311"/>
      <c r="M5" s="313"/>
      <c r="N5" s="311"/>
      <c r="O5" s="311"/>
      <c r="P5" s="311"/>
      <c r="Q5" s="311"/>
      <c r="R5" s="311"/>
      <c r="S5" s="311"/>
      <c r="T5" s="311"/>
      <c r="U5" s="311"/>
      <c r="V5" s="311"/>
      <c r="W5" s="311"/>
      <c r="X5" s="311"/>
      <c r="Y5" s="311"/>
      <c r="Z5" s="311"/>
    </row>
    <row r="6" spans="2:26" ht="16.5" thickBot="1">
      <c r="B6" s="429" t="s">
        <v>120</v>
      </c>
      <c r="C6" s="430"/>
      <c r="D6" s="430"/>
      <c r="E6" s="430"/>
      <c r="F6" s="430"/>
      <c r="G6" s="430"/>
      <c r="H6" s="431"/>
      <c r="I6"/>
      <c r="L6" s="311"/>
      <c r="M6" s="313"/>
      <c r="N6" s="311"/>
      <c r="O6" s="311"/>
      <c r="P6" s="311"/>
      <c r="Q6" s="311"/>
      <c r="R6" s="311"/>
      <c r="S6" s="311"/>
      <c r="T6" s="311"/>
      <c r="U6" s="311"/>
      <c r="V6" s="311"/>
      <c r="W6" s="311"/>
      <c r="X6" s="311"/>
      <c r="Y6" s="311"/>
      <c r="Z6" s="311"/>
    </row>
    <row r="7" spans="2:26" ht="15">
      <c r="B7" s="444" t="s">
        <v>121</v>
      </c>
      <c r="C7" s="445"/>
      <c r="D7" s="433"/>
      <c r="E7" s="432" t="s">
        <v>268</v>
      </c>
      <c r="F7" s="433"/>
      <c r="G7" s="432" t="s">
        <v>269</v>
      </c>
      <c r="H7" s="436"/>
      <c r="I7"/>
      <c r="L7" s="131"/>
      <c r="M7" s="291"/>
      <c r="N7" s="131"/>
      <c r="O7" s="131"/>
      <c r="P7" s="131"/>
      <c r="Q7" s="311"/>
      <c r="R7" s="311"/>
      <c r="S7" s="311"/>
      <c r="T7" s="311"/>
      <c r="U7" s="311"/>
      <c r="V7" s="311"/>
      <c r="W7" s="311"/>
      <c r="X7" s="311"/>
      <c r="Y7" s="311"/>
      <c r="Z7" s="311"/>
    </row>
    <row r="8" spans="2:26" ht="15.75" thickBot="1">
      <c r="B8" s="446" t="s">
        <v>265</v>
      </c>
      <c r="C8" s="447"/>
      <c r="D8" s="448"/>
      <c r="E8" s="434">
        <v>60</v>
      </c>
      <c r="F8" s="435"/>
      <c r="G8" s="434">
        <v>65</v>
      </c>
      <c r="H8" s="437"/>
      <c r="L8" s="131"/>
      <c r="M8" s="291"/>
      <c r="N8" s="131"/>
      <c r="O8" s="131"/>
      <c r="P8" s="131"/>
      <c r="Q8" s="311"/>
      <c r="R8" s="311"/>
      <c r="S8" s="311"/>
      <c r="T8" s="311"/>
      <c r="U8" s="311"/>
      <c r="V8" s="311"/>
      <c r="W8" s="311"/>
      <c r="X8" s="311"/>
      <c r="Y8" s="311"/>
      <c r="Z8" s="311"/>
    </row>
    <row r="9" spans="1:26" ht="15.75" thickBot="1">
      <c r="A9" s="40"/>
      <c r="B9" s="40"/>
      <c r="C9" s="40"/>
      <c r="D9" s="40"/>
      <c r="E9" s="41"/>
      <c r="F9" s="40"/>
      <c r="G9" s="42"/>
      <c r="H9" s="42"/>
      <c r="I9" s="40"/>
      <c r="L9" s="131"/>
      <c r="M9" s="291"/>
      <c r="N9" s="131"/>
      <c r="O9" s="131"/>
      <c r="P9" s="131"/>
      <c r="Q9" s="311"/>
      <c r="R9" s="311"/>
      <c r="S9" s="311"/>
      <c r="T9" s="311"/>
      <c r="U9" s="311"/>
      <c r="V9" s="311"/>
      <c r="W9" s="311"/>
      <c r="X9" s="311"/>
      <c r="Y9" s="311"/>
      <c r="Z9" s="311"/>
    </row>
    <row r="10" spans="1:26" ht="19.5" thickBot="1">
      <c r="A10" s="426" t="s">
        <v>91</v>
      </c>
      <c r="B10" s="427"/>
      <c r="C10" s="427"/>
      <c r="D10" s="427"/>
      <c r="E10" s="427"/>
      <c r="F10" s="427"/>
      <c r="G10" s="427"/>
      <c r="H10" s="427"/>
      <c r="I10" s="428"/>
      <c r="J10" s="423" t="s">
        <v>152</v>
      </c>
      <c r="K10" s="424"/>
      <c r="L10" s="131"/>
      <c r="M10" s="291"/>
      <c r="N10" s="131"/>
      <c r="O10" s="131"/>
      <c r="P10" s="131"/>
      <c r="Q10" s="311"/>
      <c r="R10" s="311"/>
      <c r="S10" s="311"/>
      <c r="T10" s="311"/>
      <c r="U10" s="311"/>
      <c r="V10" s="311"/>
      <c r="W10" s="311"/>
      <c r="X10" s="311"/>
      <c r="Y10" s="311"/>
      <c r="Z10" s="311"/>
    </row>
    <row r="11" spans="1:26" ht="18.75" thickBot="1">
      <c r="A11" s="180" t="s">
        <v>8</v>
      </c>
      <c r="B11" s="181" t="s">
        <v>103</v>
      </c>
      <c r="C11" s="181" t="s">
        <v>102</v>
      </c>
      <c r="D11" s="284" t="s">
        <v>262</v>
      </c>
      <c r="E11" s="180" t="s">
        <v>125</v>
      </c>
      <c r="F11" s="180" t="s">
        <v>126</v>
      </c>
      <c r="G11" s="180" t="s">
        <v>92</v>
      </c>
      <c r="H11" s="180" t="s">
        <v>116</v>
      </c>
      <c r="I11" s="182" t="s">
        <v>101</v>
      </c>
      <c r="J11" s="183" t="s">
        <v>153</v>
      </c>
      <c r="K11" s="184" t="s">
        <v>154</v>
      </c>
      <c r="L11" s="131"/>
      <c r="M11" s="291"/>
      <c r="N11" s="131"/>
      <c r="O11" s="131"/>
      <c r="P11" s="131"/>
      <c r="Q11" s="311"/>
      <c r="R11" s="311"/>
      <c r="S11" s="311"/>
      <c r="T11" s="311"/>
      <c r="U11" s="311"/>
      <c r="V11" s="311"/>
      <c r="W11" s="311"/>
      <c r="X11" s="311"/>
      <c r="Y11" s="311"/>
      <c r="Z11" s="311"/>
    </row>
    <row r="12" spans="1:26" ht="15.75" thickBot="1">
      <c r="A12" s="168">
        <v>1</v>
      </c>
      <c r="B12" s="185">
        <f>IF(A12="","",'Dados de Entrada'!Q24)</f>
        <v>5</v>
      </c>
      <c r="C12" s="185">
        <f>IF(A12="","",'Dados de Entrada'!R24)</f>
        <v>5</v>
      </c>
      <c r="D12" s="185">
        <f>IF(B12="","",VLOOKUP('Dados de Entrada'!D3,'Décourt-Quaresma'!$M$15:$O$29,3))</f>
        <v>120</v>
      </c>
      <c r="E12" s="185">
        <f>IF(A12="","",$E$8*0.01*D12*B12*$F$4)</f>
        <v>17.67145867644259</v>
      </c>
      <c r="F12" s="185">
        <f>IF(A12="","",$G$8*0.1*((C12/3)+1)*$G$4*1)</f>
        <v>13.613568165555773</v>
      </c>
      <c r="G12" s="185">
        <f>IF(A12="","",0)</f>
        <v>0</v>
      </c>
      <c r="H12" s="185">
        <f aca="true" t="shared" si="0" ref="H12:H51">IF(A12="","",E12+G12)</f>
        <v>17.67145867644259</v>
      </c>
      <c r="I12" s="185">
        <f aca="true" t="shared" si="1" ref="I12:I51">IF(A12="","",MIN(J12:K12))</f>
        <v>4.417864669110648</v>
      </c>
      <c r="J12" s="185">
        <f aca="true" t="shared" si="2" ref="J12:J51">IF(A12="","",H12/2)</f>
        <v>8.835729338221295</v>
      </c>
      <c r="K12" s="186">
        <f aca="true" t="shared" si="3" ref="K12:K51">IF(A12="","",(G12/1.3)+(E12/4))</f>
        <v>4.417864669110648</v>
      </c>
      <c r="L12" s="131"/>
      <c r="M12" s="291"/>
      <c r="N12" s="131"/>
      <c r="O12" s="131"/>
      <c r="P12" s="131"/>
      <c r="Q12" s="311"/>
      <c r="R12" s="311"/>
      <c r="S12" s="311"/>
      <c r="T12" s="311"/>
      <c r="U12" s="311"/>
      <c r="V12" s="311"/>
      <c r="W12" s="311"/>
      <c r="X12" s="311"/>
      <c r="Y12" s="311"/>
      <c r="Z12" s="311"/>
    </row>
    <row r="13" spans="1:26" ht="15.75" thickBot="1">
      <c r="A13" s="187">
        <f aca="true" t="shared" si="4" ref="A13:A51">IF(A12="","",IF($H$4&gt;=A12+1,A12+1,""))</f>
        <v>2</v>
      </c>
      <c r="B13" s="155">
        <f>IF(A13="","",'Dados de Entrada'!Q25)</f>
        <v>4.666666666666667</v>
      </c>
      <c r="C13" s="155">
        <f>IF(A13="","",'Dados de Entrada'!R25)</f>
        <v>5</v>
      </c>
      <c r="D13" s="185">
        <f>IF(B13="","",VLOOKUP('Dados de Entrada'!D4,'Décourt-Quaresma'!$M$15:$O$29,3))</f>
        <v>120</v>
      </c>
      <c r="E13" s="155">
        <f>IF(A13="","",$E$8*0.01*D13*B13*$F$4)</f>
        <v>16.493361431346415</v>
      </c>
      <c r="F13" s="155">
        <f>IF(A13="","",$G$8*0.1*((C13/3)+1)*$G$4*1)</f>
        <v>13.613568165555773</v>
      </c>
      <c r="G13" s="155">
        <f>IF(A13="","",0)</f>
        <v>0</v>
      </c>
      <c r="H13" s="155">
        <f t="shared" si="0"/>
        <v>16.493361431346415</v>
      </c>
      <c r="I13" s="155">
        <f t="shared" si="1"/>
        <v>4.123340357836604</v>
      </c>
      <c r="J13" s="155">
        <f t="shared" si="2"/>
        <v>8.246680715673207</v>
      </c>
      <c r="K13" s="156">
        <f t="shared" si="3"/>
        <v>4.123340357836604</v>
      </c>
      <c r="L13" s="131"/>
      <c r="M13" s="133"/>
      <c r="N13" s="296"/>
      <c r="O13" s="296"/>
      <c r="P13" s="296"/>
      <c r="Q13" s="311"/>
      <c r="R13" s="311"/>
      <c r="S13" s="311"/>
      <c r="T13" s="311"/>
      <c r="U13" s="311"/>
      <c r="V13" s="311"/>
      <c r="W13" s="311"/>
      <c r="X13" s="311"/>
      <c r="Y13" s="311"/>
      <c r="Z13" s="311"/>
    </row>
    <row r="14" spans="1:26" ht="15.75" thickBot="1">
      <c r="A14" s="187">
        <f t="shared" si="4"/>
        <v>3</v>
      </c>
      <c r="B14" s="155">
        <f>IF(A14="","",'Dados de Entrada'!Q26)</f>
        <v>5</v>
      </c>
      <c r="C14" s="155">
        <f>IF(A14="","",'Dados de Entrada'!R26)</f>
        <v>4.666666666666667</v>
      </c>
      <c r="D14" s="185">
        <f>IF(B14="","",VLOOKUP('Dados de Entrada'!D5,'Décourt-Quaresma'!$M$15:$O$29,3))</f>
        <v>120</v>
      </c>
      <c r="E14" s="155">
        <f aca="true" t="shared" si="5" ref="E14:E51">IF(A14="","",$E$8*0.01*D14*B14*$F$4)</f>
        <v>17.67145867644259</v>
      </c>
      <c r="F14" s="155">
        <f>IF(A14="","",$G$8*0.1*((C14/3)+1)*$G$4*1)</f>
        <v>13.046336158657613</v>
      </c>
      <c r="G14" s="155">
        <f>IF(A14="","",F14)</f>
        <v>13.046336158657613</v>
      </c>
      <c r="H14" s="155">
        <f t="shared" si="0"/>
        <v>30.717794835100204</v>
      </c>
      <c r="I14" s="155">
        <f t="shared" si="1"/>
        <v>14.453507868078042</v>
      </c>
      <c r="J14" s="155">
        <f t="shared" si="2"/>
        <v>15.358897417550102</v>
      </c>
      <c r="K14" s="156">
        <f t="shared" si="3"/>
        <v>14.453507868078042</v>
      </c>
      <c r="L14" s="131"/>
      <c r="M14" s="133"/>
      <c r="N14" s="297" t="s">
        <v>264</v>
      </c>
      <c r="O14" s="298" t="s">
        <v>106</v>
      </c>
      <c r="P14" s="296"/>
      <c r="Q14" s="311"/>
      <c r="R14" s="311"/>
      <c r="S14" s="311"/>
      <c r="T14" s="311"/>
      <c r="U14" s="311"/>
      <c r="V14" s="311"/>
      <c r="W14" s="311"/>
      <c r="X14" s="311"/>
      <c r="Y14" s="311"/>
      <c r="Z14" s="311"/>
    </row>
    <row r="15" spans="1:26" ht="15.75" thickBot="1">
      <c r="A15" s="187">
        <f t="shared" si="4"/>
        <v>4</v>
      </c>
      <c r="B15" s="155">
        <f>IF(A15="","",'Dados de Entrada'!Q27)</f>
        <v>6.666666666666667</v>
      </c>
      <c r="C15" s="155">
        <f>IF(A15="","",'Dados de Entrada'!R27)</f>
        <v>5</v>
      </c>
      <c r="D15" s="185">
        <f>IF(B15="","",VLOOKUP('Dados de Entrada'!D6,'Décourt-Quaresma'!$M$15:$O$29,3))</f>
        <v>120</v>
      </c>
      <c r="E15" s="155">
        <f t="shared" si="5"/>
        <v>23.56194490192345</v>
      </c>
      <c r="F15" s="155">
        <f aca="true" t="shared" si="6" ref="F15:F51">IF(A15="","",$G$8*0.1*((C15/3)+1)*$G$4*1)</f>
        <v>13.613568165555773</v>
      </c>
      <c r="G15" s="155">
        <f aca="true" t="shared" si="7" ref="G15:G51">IF(A15="","",G14+F15)</f>
        <v>26.659904324213386</v>
      </c>
      <c r="H15" s="155">
        <f t="shared" si="0"/>
        <v>50.22184922613684</v>
      </c>
      <c r="I15" s="155">
        <f t="shared" si="1"/>
        <v>25.11092461306842</v>
      </c>
      <c r="J15" s="155">
        <f t="shared" si="2"/>
        <v>25.11092461306842</v>
      </c>
      <c r="K15" s="156">
        <f t="shared" si="3"/>
        <v>26.398104936414235</v>
      </c>
      <c r="L15" s="131"/>
      <c r="M15" s="133">
        <v>2</v>
      </c>
      <c r="N15" s="297" t="s">
        <v>13</v>
      </c>
      <c r="O15" s="296">
        <v>400</v>
      </c>
      <c r="P15" s="296"/>
      <c r="Q15" s="311"/>
      <c r="R15" s="311"/>
      <c r="S15" s="311"/>
      <c r="T15" s="311"/>
      <c r="U15" s="311"/>
      <c r="V15" s="311"/>
      <c r="W15" s="311"/>
      <c r="X15" s="311"/>
      <c r="Y15" s="311"/>
      <c r="Z15" s="311"/>
    </row>
    <row r="16" spans="1:26" ht="15">
      <c r="A16" s="187">
        <f t="shared" si="4"/>
        <v>5</v>
      </c>
      <c r="B16" s="155">
        <f>IF(A16="","",'Dados de Entrada'!Q28)</f>
        <v>8.333333333333334</v>
      </c>
      <c r="C16" s="155">
        <f>IF(A16="","",'Dados de Entrada'!R28)</f>
        <v>6</v>
      </c>
      <c r="D16" s="185">
        <f>IF(B16="","",VLOOKUP('Dados de Entrada'!D7,'Décourt-Quaresma'!$M$15:$O$29,3))</f>
        <v>120</v>
      </c>
      <c r="E16" s="155">
        <f t="shared" si="5"/>
        <v>29.452431127404314</v>
      </c>
      <c r="F16" s="155">
        <f t="shared" si="6"/>
        <v>15.315264186250241</v>
      </c>
      <c r="G16" s="155">
        <f t="shared" si="7"/>
        <v>41.975168510463625</v>
      </c>
      <c r="H16" s="155">
        <f t="shared" si="0"/>
        <v>71.42759963786794</v>
      </c>
      <c r="I16" s="155">
        <f t="shared" si="1"/>
        <v>35.71379981893397</v>
      </c>
      <c r="J16" s="155">
        <f t="shared" si="2"/>
        <v>35.71379981893397</v>
      </c>
      <c r="K16" s="156">
        <f t="shared" si="3"/>
        <v>39.651698943746176</v>
      </c>
      <c r="L16" s="131"/>
      <c r="M16" s="133">
        <v>3</v>
      </c>
      <c r="N16" s="299" t="s">
        <v>14</v>
      </c>
      <c r="O16" s="296">
        <v>400</v>
      </c>
      <c r="P16" s="296"/>
      <c r="Q16" s="311"/>
      <c r="R16" s="311"/>
      <c r="S16" s="311"/>
      <c r="T16" s="311"/>
      <c r="U16" s="311"/>
      <c r="V16" s="311"/>
      <c r="W16" s="311"/>
      <c r="X16" s="311"/>
      <c r="Y16" s="311"/>
      <c r="Z16" s="311"/>
    </row>
    <row r="17" spans="1:26" ht="15">
      <c r="A17" s="187">
        <f t="shared" si="4"/>
        <v>6</v>
      </c>
      <c r="B17" s="155">
        <f>IF(A17="","",'Dados de Entrada'!Q29)</f>
        <v>11</v>
      </c>
      <c r="C17" s="155">
        <f>IF(A17="","",'Dados de Entrada'!R29)</f>
        <v>6.5</v>
      </c>
      <c r="D17" s="155">
        <f>IF(B17="","",VLOOKUP('Dados de Entrada'!D8,'Décourt-Quaresma'!$M$15:$O$29,3))</f>
        <v>120</v>
      </c>
      <c r="E17" s="155">
        <f t="shared" si="5"/>
        <v>38.87720908817369</v>
      </c>
      <c r="F17" s="155">
        <f t="shared" si="6"/>
        <v>16.166112196597478</v>
      </c>
      <c r="G17" s="155">
        <f t="shared" si="7"/>
        <v>58.1412807070611</v>
      </c>
      <c r="H17" s="155">
        <f t="shared" si="0"/>
        <v>97.01848979523479</v>
      </c>
      <c r="I17" s="155">
        <f t="shared" si="1"/>
        <v>48.50924489761739</v>
      </c>
      <c r="J17" s="155">
        <f t="shared" si="2"/>
        <v>48.50924489761739</v>
      </c>
      <c r="K17" s="156">
        <f t="shared" si="3"/>
        <v>54.44336435439811</v>
      </c>
      <c r="L17" s="131"/>
      <c r="M17" s="133">
        <v>4</v>
      </c>
      <c r="N17" s="299" t="s">
        <v>15</v>
      </c>
      <c r="O17" s="296">
        <v>400</v>
      </c>
      <c r="P17" s="296"/>
      <c r="Q17" s="311"/>
      <c r="R17" s="311"/>
      <c r="S17" s="311"/>
      <c r="T17" s="311"/>
      <c r="U17" s="311"/>
      <c r="V17" s="311"/>
      <c r="W17" s="311"/>
      <c r="X17" s="311"/>
      <c r="Y17" s="311"/>
      <c r="Z17" s="311"/>
    </row>
    <row r="18" spans="1:26" ht="15">
      <c r="A18" s="187">
        <f t="shared" si="4"/>
        <v>7</v>
      </c>
      <c r="B18" s="155">
        <f>IF(A18="","",'Dados de Entrada'!Q30)</f>
        <v>11.666666666666666</v>
      </c>
      <c r="C18" s="155">
        <f>IF(A18="","",'Dados de Entrada'!R30)</f>
        <v>7.571428571428571</v>
      </c>
      <c r="D18" s="155">
        <f>IF(B18="","",VLOOKUP('Dados de Entrada'!D9,'Décourt-Quaresma'!$M$15:$O$29,3))</f>
        <v>120</v>
      </c>
      <c r="E18" s="155">
        <f t="shared" si="5"/>
        <v>41.233403578366044</v>
      </c>
      <c r="F18" s="155">
        <f t="shared" si="6"/>
        <v>17.98935793305584</v>
      </c>
      <c r="G18" s="155">
        <f t="shared" si="7"/>
        <v>76.13063864011694</v>
      </c>
      <c r="H18" s="155">
        <f t="shared" si="0"/>
        <v>117.36404221848298</v>
      </c>
      <c r="I18" s="155">
        <f t="shared" si="1"/>
        <v>58.68202110924149</v>
      </c>
      <c r="J18" s="155">
        <f t="shared" si="2"/>
        <v>58.68202110924149</v>
      </c>
      <c r="K18" s="156">
        <f t="shared" si="3"/>
        <v>68.87038061775839</v>
      </c>
      <c r="L18" s="131"/>
      <c r="M18" s="133">
        <v>5</v>
      </c>
      <c r="N18" s="299" t="s">
        <v>16</v>
      </c>
      <c r="O18" s="296">
        <v>400</v>
      </c>
      <c r="P18" s="296"/>
      <c r="Q18" s="311"/>
      <c r="R18" s="311"/>
      <c r="S18" s="311"/>
      <c r="T18" s="311"/>
      <c r="U18" s="311"/>
      <c r="V18" s="311"/>
      <c r="W18" s="311"/>
      <c r="X18" s="311"/>
      <c r="Y18" s="311"/>
      <c r="Z18" s="311"/>
    </row>
    <row r="19" spans="1:26" ht="15">
      <c r="A19" s="187">
        <f t="shared" si="4"/>
        <v>8</v>
      </c>
      <c r="B19" s="155">
        <f>IF(A19="","",'Dados de Entrada'!Q31)</f>
        <v>13.666666666666666</v>
      </c>
      <c r="C19" s="155">
        <f>IF(A19="","",'Dados de Entrada'!R31)</f>
        <v>8.125</v>
      </c>
      <c r="D19" s="155">
        <f>IF(B19="","",VLOOKUP('Dados de Entrada'!D10,'Décourt-Quaresma'!$M$15:$O$29,3))</f>
        <v>120</v>
      </c>
      <c r="E19" s="155">
        <f t="shared" si="5"/>
        <v>48.301987048943076</v>
      </c>
      <c r="F19" s="155">
        <f t="shared" si="6"/>
        <v>18.931368230225996</v>
      </c>
      <c r="G19" s="155">
        <f t="shared" si="7"/>
        <v>95.06200687034294</v>
      </c>
      <c r="H19" s="155">
        <f t="shared" si="0"/>
        <v>143.36399391928603</v>
      </c>
      <c r="I19" s="155">
        <f t="shared" si="1"/>
        <v>71.68199695964302</v>
      </c>
      <c r="J19" s="155">
        <f t="shared" si="2"/>
        <v>71.68199695964302</v>
      </c>
      <c r="K19" s="156">
        <f t="shared" si="3"/>
        <v>85.20011743173033</v>
      </c>
      <c r="L19" s="131"/>
      <c r="M19" s="133">
        <v>6</v>
      </c>
      <c r="N19" s="299" t="s">
        <v>17</v>
      </c>
      <c r="O19" s="296">
        <v>400</v>
      </c>
      <c r="P19" s="296"/>
      <c r="Q19" s="311"/>
      <c r="R19" s="311"/>
      <c r="S19" s="311"/>
      <c r="T19" s="311"/>
      <c r="U19" s="311"/>
      <c r="V19" s="311"/>
      <c r="W19" s="311"/>
      <c r="X19" s="311"/>
      <c r="Y19" s="311"/>
      <c r="Z19" s="311"/>
    </row>
    <row r="20" spans="1:26" ht="15">
      <c r="A20" s="187">
        <f t="shared" si="4"/>
        <v>9</v>
      </c>
      <c r="B20" s="155">
        <f>IF(A20="","",'Dados de Entrada'!Q32)</f>
        <v>13</v>
      </c>
      <c r="C20" s="155">
        <f>IF(A20="","",'Dados de Entrada'!R32)</f>
        <v>8.88888888888889</v>
      </c>
      <c r="D20" s="155">
        <f>IF(B20="","",VLOOKUP('Dados de Entrada'!D11,'Décourt-Quaresma'!$M$15:$O$29,3))</f>
        <v>120</v>
      </c>
      <c r="E20" s="155">
        <f t="shared" si="5"/>
        <v>45.94579255875073</v>
      </c>
      <c r="F20" s="155">
        <f t="shared" si="6"/>
        <v>20.231274912700936</v>
      </c>
      <c r="G20" s="155">
        <f t="shared" si="7"/>
        <v>115.29328178304388</v>
      </c>
      <c r="H20" s="155">
        <f t="shared" si="0"/>
        <v>161.2390743417946</v>
      </c>
      <c r="I20" s="155">
        <f t="shared" si="1"/>
        <v>80.6195371708973</v>
      </c>
      <c r="J20" s="155">
        <f t="shared" si="2"/>
        <v>80.6195371708973</v>
      </c>
      <c r="K20" s="156">
        <f t="shared" si="3"/>
        <v>100.17358797279836</v>
      </c>
      <c r="L20" s="131"/>
      <c r="M20" s="133">
        <v>7</v>
      </c>
      <c r="N20" s="297" t="s">
        <v>18</v>
      </c>
      <c r="O20" s="296">
        <v>250</v>
      </c>
      <c r="P20" s="296"/>
      <c r="Q20" s="311"/>
      <c r="R20" s="311"/>
      <c r="S20" s="311"/>
      <c r="T20" s="311"/>
      <c r="U20" s="311"/>
      <c r="V20" s="311"/>
      <c r="W20" s="311"/>
      <c r="X20" s="311"/>
      <c r="Y20" s="311"/>
      <c r="Z20" s="311"/>
    </row>
    <row r="21" spans="1:26" ht="15">
      <c r="A21" s="187">
        <f t="shared" si="4"/>
        <v>10</v>
      </c>
      <c r="B21" s="155">
        <f>IF(A21="","",'Dados de Entrada'!Q33)</f>
        <v>15</v>
      </c>
      <c r="C21" s="155">
        <f>IF(A21="","",'Dados de Entrada'!R33)</f>
        <v>9.2</v>
      </c>
      <c r="D21" s="155">
        <f>IF(B21="","",VLOOKUP('Dados de Entrada'!D12,'Décourt-Quaresma'!$M$15:$O$29,3))</f>
        <v>120</v>
      </c>
      <c r="E21" s="155">
        <f t="shared" si="5"/>
        <v>53.014376029327764</v>
      </c>
      <c r="F21" s="155">
        <f t="shared" si="6"/>
        <v>20.760691452472546</v>
      </c>
      <c r="G21" s="155">
        <f t="shared" si="7"/>
        <v>136.05397323551642</v>
      </c>
      <c r="H21" s="155">
        <f t="shared" si="0"/>
        <v>189.0683492648442</v>
      </c>
      <c r="I21" s="155">
        <f t="shared" si="1"/>
        <v>94.5341746324221</v>
      </c>
      <c r="J21" s="155">
        <f t="shared" si="2"/>
        <v>94.5341746324221</v>
      </c>
      <c r="K21" s="156">
        <f t="shared" si="3"/>
        <v>117.91049649619073</v>
      </c>
      <c r="L21" s="131"/>
      <c r="M21" s="133">
        <v>8</v>
      </c>
      <c r="N21" s="299" t="s">
        <v>19</v>
      </c>
      <c r="O21" s="296">
        <v>250</v>
      </c>
      <c r="P21" s="296"/>
      <c r="Q21" s="311"/>
      <c r="R21" s="311"/>
      <c r="S21" s="311"/>
      <c r="T21" s="311"/>
      <c r="U21" s="311"/>
      <c r="V21" s="311"/>
      <c r="W21" s="311"/>
      <c r="X21" s="311"/>
      <c r="Y21" s="311"/>
      <c r="Z21" s="311"/>
    </row>
    <row r="22" spans="1:26" ht="15">
      <c r="A22" s="187">
        <f t="shared" si="4"/>
        <v>11</v>
      </c>
      <c r="B22" s="155">
        <f>IF(A22="","",'Dados de Entrada'!Q34)</f>
        <v>16.666666666666668</v>
      </c>
      <c r="C22" s="155">
        <f>IF(A22="","",'Dados de Entrada'!R34)</f>
        <v>9.727272727272727</v>
      </c>
      <c r="D22" s="155">
        <f>IF(B22="","",VLOOKUP('Dados de Entrada'!D13,'Décourt-Quaresma'!$M$15:$O$29,3))</f>
        <v>120</v>
      </c>
      <c r="E22" s="155">
        <f t="shared" si="5"/>
        <v>58.90486225480863</v>
      </c>
      <c r="F22" s="155">
        <f t="shared" si="6"/>
        <v>21.65794935429327</v>
      </c>
      <c r="G22" s="155">
        <f t="shared" si="7"/>
        <v>157.7119225898097</v>
      </c>
      <c r="H22" s="155">
        <f t="shared" si="0"/>
        <v>216.6167848446183</v>
      </c>
      <c r="I22" s="155">
        <f t="shared" si="1"/>
        <v>108.30839242230915</v>
      </c>
      <c r="J22" s="155">
        <f t="shared" si="2"/>
        <v>108.30839242230915</v>
      </c>
      <c r="K22" s="156">
        <f t="shared" si="3"/>
        <v>136.043079094325</v>
      </c>
      <c r="L22" s="131"/>
      <c r="M22" s="133">
        <v>9</v>
      </c>
      <c r="N22" s="299" t="s">
        <v>20</v>
      </c>
      <c r="O22" s="296">
        <v>200</v>
      </c>
      <c r="P22" s="296"/>
      <c r="Q22" s="311"/>
      <c r="R22" s="311"/>
      <c r="S22" s="311"/>
      <c r="T22" s="311"/>
      <c r="U22" s="311"/>
      <c r="V22" s="311"/>
      <c r="W22" s="311"/>
      <c r="X22" s="311"/>
      <c r="Y22" s="311"/>
      <c r="Z22" s="311"/>
    </row>
    <row r="23" spans="1:26" ht="15">
      <c r="A23" s="187">
        <f t="shared" si="4"/>
        <v>12</v>
      </c>
      <c r="B23" s="155">
        <f>IF(A23="","",'Dados de Entrada'!Q35)</f>
        <v>21.333333333333332</v>
      </c>
      <c r="C23" s="155">
        <f>IF(A23="","",'Dados de Entrada'!R35)</f>
        <v>10.166666666666666</v>
      </c>
      <c r="D23" s="155">
        <f>IF(B23="","",VLOOKUP('Dados de Entrada'!D14,'Décourt-Quaresma'!$M$15:$O$29,3))</f>
        <v>120</v>
      </c>
      <c r="E23" s="155">
        <f t="shared" si="5"/>
        <v>75.39822368615505</v>
      </c>
      <c r="F23" s="155">
        <f t="shared" si="6"/>
        <v>22.405664272477207</v>
      </c>
      <c r="G23" s="155">
        <f t="shared" si="7"/>
        <v>180.11758686228688</v>
      </c>
      <c r="H23" s="155">
        <f t="shared" si="0"/>
        <v>255.51581054844195</v>
      </c>
      <c r="I23" s="155">
        <f t="shared" si="1"/>
        <v>127.75790527422097</v>
      </c>
      <c r="J23" s="155">
        <f t="shared" si="2"/>
        <v>127.75790527422097</v>
      </c>
      <c r="K23" s="156">
        <f t="shared" si="3"/>
        <v>157.40154581560557</v>
      </c>
      <c r="L23" s="131"/>
      <c r="M23" s="133">
        <v>10</v>
      </c>
      <c r="N23" s="299" t="s">
        <v>21</v>
      </c>
      <c r="O23" s="296">
        <v>200</v>
      </c>
      <c r="P23" s="296"/>
      <c r="Q23" s="311"/>
      <c r="R23" s="311"/>
      <c r="S23" s="311"/>
      <c r="T23" s="311"/>
      <c r="U23" s="311"/>
      <c r="V23" s="311"/>
      <c r="W23" s="311"/>
      <c r="X23" s="311"/>
      <c r="Y23" s="311"/>
      <c r="Z23" s="311"/>
    </row>
    <row r="24" spans="1:26" ht="15">
      <c r="A24" s="187">
        <f t="shared" si="4"/>
        <v>13</v>
      </c>
      <c r="B24" s="155">
        <f>IF(A24="","",'Dados de Entrada'!Q36)</f>
        <v>26.333333333333332</v>
      </c>
      <c r="C24" s="155">
        <f>IF(A24="","",'Dados de Entrada'!R36)</f>
        <v>10.538461538461538</v>
      </c>
      <c r="D24" s="155">
        <f>IF(B24="","",VLOOKUP('Dados de Entrada'!D15,'Décourt-Quaresma'!$M$15:$O$29,3))</f>
        <v>120</v>
      </c>
      <c r="E24" s="155">
        <f t="shared" si="5"/>
        <v>93.06968236259763</v>
      </c>
      <c r="F24" s="155">
        <f t="shared" si="6"/>
        <v>23.03834612632515</v>
      </c>
      <c r="G24" s="155">
        <f t="shared" si="7"/>
        <v>203.15593298861202</v>
      </c>
      <c r="H24" s="155">
        <f t="shared" si="0"/>
        <v>296.2256153512096</v>
      </c>
      <c r="I24" s="155">
        <f t="shared" si="1"/>
        <v>148.1128076756048</v>
      </c>
      <c r="J24" s="155">
        <f t="shared" si="2"/>
        <v>148.1128076756048</v>
      </c>
      <c r="K24" s="156">
        <f t="shared" si="3"/>
        <v>179.54121519727403</v>
      </c>
      <c r="L24" s="131"/>
      <c r="M24" s="133">
        <v>11</v>
      </c>
      <c r="N24" s="299" t="s">
        <v>22</v>
      </c>
      <c r="O24" s="296">
        <v>200</v>
      </c>
      <c r="P24" s="296"/>
      <c r="Q24" s="311"/>
      <c r="R24" s="311"/>
      <c r="S24" s="311"/>
      <c r="T24" s="311"/>
      <c r="U24" s="311"/>
      <c r="V24" s="311"/>
      <c r="W24" s="311"/>
      <c r="X24" s="311"/>
      <c r="Y24" s="311"/>
      <c r="Z24" s="311"/>
    </row>
    <row r="25" spans="1:26" ht="15">
      <c r="A25" s="187">
        <f t="shared" si="4"/>
        <v>14</v>
      </c>
      <c r="B25" s="155">
        <f>IF(A25="","",'Dados de Entrada'!Q37)</f>
        <v>34.666666666666664</v>
      </c>
      <c r="C25" s="155">
        <f>IF(A25="","",'Dados de Entrada'!R37)</f>
        <v>10.857142857142858</v>
      </c>
      <c r="D25" s="155">
        <f>IF(B25="","",VLOOKUP('Dados de Entrada'!D16,'Décourt-Quaresma'!$M$15:$O$29,3))</f>
        <v>120</v>
      </c>
      <c r="E25" s="155">
        <f t="shared" si="5"/>
        <v>122.52211349000194</v>
      </c>
      <c r="F25" s="155">
        <f t="shared" si="6"/>
        <v>23.580644858194816</v>
      </c>
      <c r="G25" s="155">
        <f t="shared" si="7"/>
        <v>226.73657784680682</v>
      </c>
      <c r="H25" s="155">
        <f t="shared" si="0"/>
        <v>349.25869133680874</v>
      </c>
      <c r="I25" s="155">
        <f t="shared" si="1"/>
        <v>174.62934566840437</v>
      </c>
      <c r="J25" s="155">
        <f t="shared" si="2"/>
        <v>174.62934566840437</v>
      </c>
      <c r="K25" s="156">
        <f t="shared" si="3"/>
        <v>205.0432805623519</v>
      </c>
      <c r="L25" s="131"/>
      <c r="M25" s="133">
        <v>12</v>
      </c>
      <c r="N25" s="297" t="s">
        <v>23</v>
      </c>
      <c r="O25" s="296">
        <v>120</v>
      </c>
      <c r="P25" s="296"/>
      <c r="Q25" s="311"/>
      <c r="R25" s="311"/>
      <c r="S25" s="311"/>
      <c r="T25" s="311"/>
      <c r="U25" s="311"/>
      <c r="V25" s="311"/>
      <c r="W25" s="311"/>
      <c r="X25" s="311"/>
      <c r="Y25" s="311"/>
      <c r="Z25" s="311"/>
    </row>
    <row r="26" spans="1:26" ht="15">
      <c r="A26" s="187">
        <f t="shared" si="4"/>
        <v>15</v>
      </c>
      <c r="B26" s="155">
        <f>IF(A26="","",'Dados de Entrada'!Q38)</f>
        <v>28</v>
      </c>
      <c r="C26" s="155">
        <f>IF(A26="","",'Dados de Entrada'!R38)</f>
        <v>11.133333333333333</v>
      </c>
      <c r="D26" s="155">
        <f>IF(B26="","",VLOOKUP('Dados de Entrada'!D17,'Décourt-Quaresma'!$M$15:$O$29,3))</f>
        <v>120</v>
      </c>
      <c r="E26" s="155">
        <f t="shared" si="5"/>
        <v>98.9601685880785</v>
      </c>
      <c r="F26" s="155">
        <f t="shared" si="6"/>
        <v>24.050637092481857</v>
      </c>
      <c r="G26" s="155">
        <f t="shared" si="7"/>
        <v>250.78721493928867</v>
      </c>
      <c r="H26" s="155">
        <f t="shared" si="0"/>
        <v>349.74738352736716</v>
      </c>
      <c r="I26" s="155">
        <f t="shared" si="1"/>
        <v>174.87369176368358</v>
      </c>
      <c r="J26" s="155">
        <f t="shared" si="2"/>
        <v>174.87369176368358</v>
      </c>
      <c r="K26" s="156">
        <f t="shared" si="3"/>
        <v>217.6532844080109</v>
      </c>
      <c r="L26" s="131"/>
      <c r="M26" s="133">
        <v>13</v>
      </c>
      <c r="N26" s="299" t="s">
        <v>24</v>
      </c>
      <c r="O26" s="296">
        <v>120</v>
      </c>
      <c r="P26" s="296"/>
      <c r="Q26" s="311"/>
      <c r="R26" s="311"/>
      <c r="S26" s="311"/>
      <c r="T26" s="311"/>
      <c r="U26" s="311"/>
      <c r="V26" s="311"/>
      <c r="W26" s="311"/>
      <c r="X26" s="311"/>
      <c r="Y26" s="311"/>
      <c r="Z26" s="311"/>
    </row>
    <row r="27" spans="1:26" ht="15">
      <c r="A27" s="187">
        <f t="shared" si="4"/>
      </c>
      <c r="B27" s="155">
        <f>IF(A27="","",'Dados de Entrada'!Q39)</f>
      </c>
      <c r="C27" s="155">
        <f>IF(A27="","",'Dados de Entrada'!R39)</f>
      </c>
      <c r="D27" s="155">
        <f>IF(B27="","",VLOOKUP('Dados de Entrada'!D18,'Décourt-Quaresma'!$M$15:$O$29,3))</f>
      </c>
      <c r="E27" s="155">
        <f t="shared" si="5"/>
      </c>
      <c r="F27" s="155">
        <f t="shared" si="6"/>
      </c>
      <c r="G27" s="155">
        <f t="shared" si="7"/>
      </c>
      <c r="H27" s="155">
        <f t="shared" si="0"/>
      </c>
      <c r="I27" s="155">
        <f t="shared" si="1"/>
      </c>
      <c r="J27" s="155">
        <f t="shared" si="2"/>
      </c>
      <c r="K27" s="156">
        <f t="shared" si="3"/>
      </c>
      <c r="L27" s="131"/>
      <c r="M27" s="133">
        <v>14</v>
      </c>
      <c r="N27" s="299" t="s">
        <v>25</v>
      </c>
      <c r="O27" s="296">
        <v>120</v>
      </c>
      <c r="P27" s="296"/>
      <c r="Q27" s="311"/>
      <c r="R27" s="311"/>
      <c r="S27" s="311"/>
      <c r="T27" s="311"/>
      <c r="U27" s="311"/>
      <c r="V27" s="311"/>
      <c r="W27" s="311"/>
      <c r="X27" s="311"/>
      <c r="Y27" s="311"/>
      <c r="Z27" s="311"/>
    </row>
    <row r="28" spans="1:26" ht="15">
      <c r="A28" s="187">
        <f t="shared" si="4"/>
      </c>
      <c r="B28" s="155">
        <f>IF(A28="","",'Dados de Entrada'!Q40)</f>
      </c>
      <c r="C28" s="155">
        <f>IF(A28="","",'Dados de Entrada'!R40)</f>
      </c>
      <c r="D28" s="155">
        <f>IF(B28="","",VLOOKUP('Dados de Entrada'!D19,'Décourt-Quaresma'!$M$15:$O$29,3))</f>
      </c>
      <c r="E28" s="155">
        <f t="shared" si="5"/>
      </c>
      <c r="F28" s="155">
        <f t="shared" si="6"/>
      </c>
      <c r="G28" s="155">
        <f t="shared" si="7"/>
      </c>
      <c r="H28" s="155">
        <f t="shared" si="0"/>
      </c>
      <c r="I28" s="155">
        <f t="shared" si="1"/>
      </c>
      <c r="J28" s="155">
        <f t="shared" si="2"/>
      </c>
      <c r="K28" s="156">
        <f t="shared" si="3"/>
      </c>
      <c r="L28" s="131"/>
      <c r="M28" s="133">
        <v>15</v>
      </c>
      <c r="N28" s="299" t="s">
        <v>26</v>
      </c>
      <c r="O28" s="296">
        <v>120</v>
      </c>
      <c r="P28" s="296"/>
      <c r="Q28" s="311"/>
      <c r="R28" s="311"/>
      <c r="S28" s="311"/>
      <c r="T28" s="311"/>
      <c r="U28" s="311"/>
      <c r="V28" s="311"/>
      <c r="W28" s="311"/>
      <c r="X28" s="311"/>
      <c r="Y28" s="311"/>
      <c r="Z28" s="311"/>
    </row>
    <row r="29" spans="1:26" ht="15">
      <c r="A29" s="187">
        <f t="shared" si="4"/>
      </c>
      <c r="B29" s="155">
        <f>IF(A29="","",'Dados de Entrada'!Q41)</f>
      </c>
      <c r="C29" s="155">
        <f>IF(A29="","",'Dados de Entrada'!R41)</f>
      </c>
      <c r="D29" s="155">
        <f>IF(B29="","",VLOOKUP('Dados de Entrada'!D20,'Décourt-Quaresma'!$M$15:$O$29,3))</f>
      </c>
      <c r="E29" s="155">
        <f t="shared" si="5"/>
      </c>
      <c r="F29" s="155">
        <f t="shared" si="6"/>
      </c>
      <c r="G29" s="155">
        <f t="shared" si="7"/>
      </c>
      <c r="H29" s="155">
        <f t="shared" si="0"/>
      </c>
      <c r="I29" s="155">
        <f t="shared" si="1"/>
      </c>
      <c r="J29" s="155">
        <f t="shared" si="2"/>
      </c>
      <c r="K29" s="156">
        <f t="shared" si="3"/>
      </c>
      <c r="L29" s="131"/>
      <c r="M29" s="133">
        <v>16</v>
      </c>
      <c r="N29" s="299" t="s">
        <v>27</v>
      </c>
      <c r="O29" s="296">
        <v>120</v>
      </c>
      <c r="P29" s="296"/>
      <c r="Q29" s="311"/>
      <c r="R29" s="311"/>
      <c r="S29" s="311"/>
      <c r="T29" s="311"/>
      <c r="U29" s="311"/>
      <c r="V29" s="311"/>
      <c r="W29" s="311"/>
      <c r="X29" s="311"/>
      <c r="Y29" s="311"/>
      <c r="Z29" s="311"/>
    </row>
    <row r="30" spans="1:26" ht="15">
      <c r="A30" s="187">
        <f t="shared" si="4"/>
      </c>
      <c r="B30" s="155">
        <f>IF(A30="","",'Dados de Entrada'!Q42)</f>
      </c>
      <c r="C30" s="155">
        <f>IF(A30="","",'Dados de Entrada'!R42)</f>
      </c>
      <c r="D30" s="155">
        <f>IF(B30="","",VLOOKUP('Dados de Entrada'!D21,'Décourt-Quaresma'!$M$15:$O$29,3))</f>
      </c>
      <c r="E30" s="155">
        <f t="shared" si="5"/>
      </c>
      <c r="F30" s="155">
        <f t="shared" si="6"/>
      </c>
      <c r="G30" s="155">
        <f t="shared" si="7"/>
      </c>
      <c r="H30" s="155">
        <f t="shared" si="0"/>
      </c>
      <c r="I30" s="155">
        <f t="shared" si="1"/>
      </c>
      <c r="J30" s="155">
        <f t="shared" si="2"/>
      </c>
      <c r="K30" s="156">
        <f t="shared" si="3"/>
      </c>
      <c r="L30" s="131"/>
      <c r="M30" s="296"/>
      <c r="N30" s="296"/>
      <c r="O30" s="296"/>
      <c r="P30" s="296"/>
      <c r="Q30" s="311"/>
      <c r="R30" s="311"/>
      <c r="S30" s="311"/>
      <c r="T30" s="311"/>
      <c r="U30" s="311"/>
      <c r="V30" s="311"/>
      <c r="W30" s="311"/>
      <c r="X30" s="311"/>
      <c r="Y30" s="311"/>
      <c r="Z30" s="311"/>
    </row>
    <row r="31" spans="1:26" ht="15">
      <c r="A31" s="187">
        <f t="shared" si="4"/>
      </c>
      <c r="B31" s="155">
        <f>IF(A31="","",'Dados de Entrada'!Q43)</f>
      </c>
      <c r="C31" s="155">
        <f>IF(A31="","",'Dados de Entrada'!R43)</f>
      </c>
      <c r="D31" s="155">
        <f>IF(B31="","",VLOOKUP('Dados de Entrada'!D22,'Décourt-Quaresma'!$M$15:$O$29,3))</f>
      </c>
      <c r="E31" s="155">
        <f t="shared" si="5"/>
      </c>
      <c r="F31" s="155">
        <f t="shared" si="6"/>
      </c>
      <c r="G31" s="155">
        <f t="shared" si="7"/>
      </c>
      <c r="H31" s="155">
        <f t="shared" si="0"/>
      </c>
      <c r="I31" s="155">
        <f t="shared" si="1"/>
      </c>
      <c r="J31" s="155">
        <f t="shared" si="2"/>
      </c>
      <c r="K31" s="156">
        <f t="shared" si="3"/>
      </c>
      <c r="L31" s="131"/>
      <c r="M31" s="296"/>
      <c r="N31" s="296"/>
      <c r="O31" s="296"/>
      <c r="P31" s="296"/>
      <c r="Q31" s="311"/>
      <c r="R31" s="311"/>
      <c r="S31" s="311"/>
      <c r="T31" s="311"/>
      <c r="U31" s="311"/>
      <c r="V31" s="311"/>
      <c r="W31" s="311"/>
      <c r="X31" s="311"/>
      <c r="Y31" s="311"/>
      <c r="Z31" s="311"/>
    </row>
    <row r="32" spans="1:26" ht="15">
      <c r="A32" s="187">
        <f t="shared" si="4"/>
      </c>
      <c r="B32" s="155">
        <f>IF(A32="","",'Dados de Entrada'!Q44)</f>
      </c>
      <c r="C32" s="155">
        <f>IF(A32="","",'Dados de Entrada'!R44)</f>
      </c>
      <c r="D32" s="155">
        <f>IF(B32="","",VLOOKUP('Dados de Entrada'!D23,'Décourt-Quaresma'!$M$15:$O$29,3))</f>
      </c>
      <c r="E32" s="155">
        <f t="shared" si="5"/>
      </c>
      <c r="F32" s="155">
        <f t="shared" si="6"/>
      </c>
      <c r="G32" s="155">
        <f t="shared" si="7"/>
      </c>
      <c r="H32" s="155">
        <f t="shared" si="0"/>
      </c>
      <c r="I32" s="155">
        <f t="shared" si="1"/>
      </c>
      <c r="J32" s="155">
        <f t="shared" si="2"/>
      </c>
      <c r="K32" s="156">
        <f t="shared" si="3"/>
      </c>
      <c r="L32" s="131"/>
      <c r="M32" s="296"/>
      <c r="N32" s="296"/>
      <c r="O32" s="296"/>
      <c r="P32" s="296"/>
      <c r="Q32" s="311"/>
      <c r="R32" s="311"/>
      <c r="S32" s="311"/>
      <c r="T32" s="311"/>
      <c r="U32" s="311"/>
      <c r="V32" s="311"/>
      <c r="W32" s="311"/>
      <c r="X32" s="311"/>
      <c r="Y32" s="311"/>
      <c r="Z32" s="311"/>
    </row>
    <row r="33" spans="1:26" ht="15">
      <c r="A33" s="187">
        <f t="shared" si="4"/>
      </c>
      <c r="B33" s="155">
        <f>IF(A33="","",'Dados de Entrada'!Q45)</f>
      </c>
      <c r="C33" s="155">
        <f>IF(A33="","",'Dados de Entrada'!R45)</f>
      </c>
      <c r="D33" s="155">
        <f>IF(B33="","",VLOOKUP('Dados de Entrada'!D24,'Décourt-Quaresma'!$M$15:$O$29,3))</f>
      </c>
      <c r="E33" s="155">
        <f t="shared" si="5"/>
      </c>
      <c r="F33" s="155">
        <f t="shared" si="6"/>
      </c>
      <c r="G33" s="155">
        <f t="shared" si="7"/>
      </c>
      <c r="H33" s="155">
        <f t="shared" si="0"/>
      </c>
      <c r="I33" s="155">
        <f t="shared" si="1"/>
      </c>
      <c r="J33" s="155">
        <f t="shared" si="2"/>
      </c>
      <c r="K33" s="156">
        <f t="shared" si="3"/>
      </c>
      <c r="L33" s="311"/>
      <c r="M33" s="315"/>
      <c r="N33" s="315"/>
      <c r="O33" s="315"/>
      <c r="P33" s="315"/>
      <c r="Q33" s="311"/>
      <c r="R33" s="311"/>
      <c r="S33" s="311"/>
      <c r="T33" s="311"/>
      <c r="U33" s="311"/>
      <c r="V33" s="311"/>
      <c r="W33" s="311"/>
      <c r="X33" s="311"/>
      <c r="Y33" s="311"/>
      <c r="Z33" s="311"/>
    </row>
    <row r="34" spans="1:26" ht="15">
      <c r="A34" s="187">
        <f t="shared" si="4"/>
      </c>
      <c r="B34" s="155">
        <f>IF(A34="","",'Dados de Entrada'!Q46)</f>
      </c>
      <c r="C34" s="155">
        <f>IF(A34="","",'Dados de Entrada'!R46)</f>
      </c>
      <c r="D34" s="155">
        <f>IF(B34="","",VLOOKUP('Dados de Entrada'!D25,'Décourt-Quaresma'!$M$15:$O$29,3))</f>
      </c>
      <c r="E34" s="155">
        <f t="shared" si="5"/>
      </c>
      <c r="F34" s="155">
        <f t="shared" si="6"/>
      </c>
      <c r="G34" s="155">
        <f t="shared" si="7"/>
      </c>
      <c r="H34" s="155">
        <f t="shared" si="0"/>
      </c>
      <c r="I34" s="155">
        <f t="shared" si="1"/>
      </c>
      <c r="J34" s="155">
        <f t="shared" si="2"/>
      </c>
      <c r="K34" s="156">
        <f t="shared" si="3"/>
      </c>
      <c r="L34" s="311"/>
      <c r="M34" s="311"/>
      <c r="N34" s="311"/>
      <c r="O34" s="311"/>
      <c r="P34" s="311"/>
      <c r="Q34" s="311"/>
      <c r="R34" s="311"/>
      <c r="S34" s="311"/>
      <c r="T34" s="311"/>
      <c r="U34" s="311"/>
      <c r="V34" s="311"/>
      <c r="W34" s="311"/>
      <c r="X34" s="311"/>
      <c r="Y34" s="311"/>
      <c r="Z34" s="311"/>
    </row>
    <row r="35" spans="1:26" ht="15">
      <c r="A35" s="187">
        <f t="shared" si="4"/>
      </c>
      <c r="B35" s="155">
        <f>IF(A35="","",'Dados de Entrada'!Q47)</f>
      </c>
      <c r="C35" s="155">
        <f>IF(A35="","",'Dados de Entrada'!R47)</f>
      </c>
      <c r="D35" s="155">
        <f>IF(B35="","",VLOOKUP('Dados de Entrada'!D26,'Décourt-Quaresma'!$M$15:$O$29,3))</f>
      </c>
      <c r="E35" s="155">
        <f t="shared" si="5"/>
      </c>
      <c r="F35" s="155">
        <f t="shared" si="6"/>
      </c>
      <c r="G35" s="155">
        <f t="shared" si="7"/>
      </c>
      <c r="H35" s="155">
        <f t="shared" si="0"/>
      </c>
      <c r="I35" s="155">
        <f t="shared" si="1"/>
      </c>
      <c r="J35" s="155">
        <f t="shared" si="2"/>
      </c>
      <c r="K35" s="156">
        <f t="shared" si="3"/>
      </c>
      <c r="L35" s="311"/>
      <c r="M35" s="311"/>
      <c r="N35" s="311"/>
      <c r="O35" s="311"/>
      <c r="P35" s="311"/>
      <c r="Q35" s="311"/>
      <c r="R35" s="311"/>
      <c r="S35" s="311"/>
      <c r="T35" s="311"/>
      <c r="U35" s="311"/>
      <c r="V35" s="311"/>
      <c r="W35" s="311"/>
      <c r="X35" s="311"/>
      <c r="Y35" s="311"/>
      <c r="Z35" s="311"/>
    </row>
    <row r="36" spans="1:26" ht="15">
      <c r="A36" s="187">
        <f t="shared" si="4"/>
      </c>
      <c r="B36" s="155">
        <f>IF(A36="","",'Dados de Entrada'!Q48)</f>
      </c>
      <c r="C36" s="155">
        <f>IF(A36="","",'Dados de Entrada'!R48)</f>
      </c>
      <c r="D36" s="155">
        <f>IF(B36="","",VLOOKUP('Dados de Entrada'!D27,'Décourt-Quaresma'!$M$15:$O$29,3))</f>
      </c>
      <c r="E36" s="155">
        <f t="shared" si="5"/>
      </c>
      <c r="F36" s="155">
        <f t="shared" si="6"/>
      </c>
      <c r="G36" s="155">
        <f t="shared" si="7"/>
      </c>
      <c r="H36" s="155">
        <f t="shared" si="0"/>
      </c>
      <c r="I36" s="155">
        <f t="shared" si="1"/>
      </c>
      <c r="J36" s="155">
        <f t="shared" si="2"/>
      </c>
      <c r="K36" s="156">
        <f t="shared" si="3"/>
      </c>
      <c r="L36" s="311"/>
      <c r="M36" s="311"/>
      <c r="N36" s="311"/>
      <c r="O36" s="311"/>
      <c r="P36" s="311"/>
      <c r="Q36" s="311"/>
      <c r="R36" s="311"/>
      <c r="S36" s="311"/>
      <c r="T36" s="311"/>
      <c r="U36" s="311"/>
      <c r="V36" s="311"/>
      <c r="W36" s="311"/>
      <c r="X36" s="311"/>
      <c r="Y36" s="311"/>
      <c r="Z36" s="311"/>
    </row>
    <row r="37" spans="1:26" ht="15">
      <c r="A37" s="187">
        <f t="shared" si="4"/>
      </c>
      <c r="B37" s="155">
        <f>IF(A37="","",'Dados de Entrada'!Q49)</f>
      </c>
      <c r="C37" s="155">
        <f>IF(A37="","",'Dados de Entrada'!R49)</f>
      </c>
      <c r="D37" s="155">
        <f>IF(B37="","",VLOOKUP('Dados de Entrada'!D28,'Décourt-Quaresma'!$M$15:$O$29,3))</f>
      </c>
      <c r="E37" s="155">
        <f t="shared" si="5"/>
      </c>
      <c r="F37" s="155">
        <f t="shared" si="6"/>
      </c>
      <c r="G37" s="155">
        <f t="shared" si="7"/>
      </c>
      <c r="H37" s="155">
        <f t="shared" si="0"/>
      </c>
      <c r="I37" s="155">
        <f t="shared" si="1"/>
      </c>
      <c r="J37" s="155">
        <f t="shared" si="2"/>
      </c>
      <c r="K37" s="156">
        <f t="shared" si="3"/>
      </c>
      <c r="L37" s="311"/>
      <c r="M37" s="311"/>
      <c r="N37" s="311"/>
      <c r="O37" s="311"/>
      <c r="P37" s="311"/>
      <c r="Q37" s="311"/>
      <c r="R37" s="311"/>
      <c r="S37" s="311"/>
      <c r="T37" s="311"/>
      <c r="U37" s="311"/>
      <c r="V37" s="311"/>
      <c r="W37" s="311"/>
      <c r="X37" s="311"/>
      <c r="Y37" s="311"/>
      <c r="Z37" s="311"/>
    </row>
    <row r="38" spans="1:26" ht="15">
      <c r="A38" s="187">
        <f t="shared" si="4"/>
      </c>
      <c r="B38" s="155">
        <f>IF(A38="","",'Dados de Entrada'!Q50)</f>
      </c>
      <c r="C38" s="155">
        <f>IF(A38="","",'Dados de Entrada'!R50)</f>
      </c>
      <c r="D38" s="155">
        <f>IF(B38="","",VLOOKUP('Dados de Entrada'!D29,'Décourt-Quaresma'!$M$15:$O$29,3))</f>
      </c>
      <c r="E38" s="155">
        <f t="shared" si="5"/>
      </c>
      <c r="F38" s="155">
        <f t="shared" si="6"/>
      </c>
      <c r="G38" s="155">
        <f t="shared" si="7"/>
      </c>
      <c r="H38" s="155">
        <f t="shared" si="0"/>
      </c>
      <c r="I38" s="155">
        <f t="shared" si="1"/>
      </c>
      <c r="J38" s="155">
        <f t="shared" si="2"/>
      </c>
      <c r="K38" s="156">
        <f t="shared" si="3"/>
      </c>
      <c r="L38" s="311"/>
      <c r="M38" s="311"/>
      <c r="N38" s="311"/>
      <c r="O38" s="311"/>
      <c r="P38" s="311"/>
      <c r="Q38" s="311"/>
      <c r="R38" s="311"/>
      <c r="S38" s="311"/>
      <c r="T38" s="311"/>
      <c r="U38" s="311"/>
      <c r="V38" s="311"/>
      <c r="W38" s="311"/>
      <c r="X38" s="311"/>
      <c r="Y38" s="311"/>
      <c r="Z38" s="311"/>
    </row>
    <row r="39" spans="1:26" ht="15">
      <c r="A39" s="187">
        <f t="shared" si="4"/>
      </c>
      <c r="B39" s="155">
        <f>IF(A39="","",'Dados de Entrada'!Q51)</f>
      </c>
      <c r="C39" s="155">
        <f>IF(A39="","",'Dados de Entrada'!R51)</f>
      </c>
      <c r="D39" s="155">
        <f>IF(B39="","",VLOOKUP('Dados de Entrada'!D30,'Décourt-Quaresma'!$M$15:$O$29,3))</f>
      </c>
      <c r="E39" s="155">
        <f t="shared" si="5"/>
      </c>
      <c r="F39" s="155">
        <f t="shared" si="6"/>
      </c>
      <c r="G39" s="155">
        <f t="shared" si="7"/>
      </c>
      <c r="H39" s="155">
        <f t="shared" si="0"/>
      </c>
      <c r="I39" s="155">
        <f t="shared" si="1"/>
      </c>
      <c r="J39" s="155">
        <f t="shared" si="2"/>
      </c>
      <c r="K39" s="156">
        <f t="shared" si="3"/>
      </c>
      <c r="L39" s="311"/>
      <c r="M39" s="311"/>
      <c r="N39" s="311"/>
      <c r="O39" s="311"/>
      <c r="P39" s="311"/>
      <c r="Q39" s="311"/>
      <c r="R39" s="311"/>
      <c r="S39" s="311"/>
      <c r="T39" s="311"/>
      <c r="U39" s="311"/>
      <c r="V39" s="311"/>
      <c r="W39" s="311"/>
      <c r="X39" s="311"/>
      <c r="Y39" s="311"/>
      <c r="Z39" s="311"/>
    </row>
    <row r="40" spans="1:26" ht="15">
      <c r="A40" s="187">
        <f t="shared" si="4"/>
      </c>
      <c r="B40" s="155">
        <f>IF(A40="","",'Dados de Entrada'!Q52)</f>
      </c>
      <c r="C40" s="155">
        <f>IF(A40="","",'Dados de Entrada'!R52)</f>
      </c>
      <c r="D40" s="155">
        <f>IF(B40="","",VLOOKUP('Dados de Entrada'!D31,'Décourt-Quaresma'!$M$15:$O$29,3))</f>
      </c>
      <c r="E40" s="155">
        <f t="shared" si="5"/>
      </c>
      <c r="F40" s="155">
        <f t="shared" si="6"/>
      </c>
      <c r="G40" s="155">
        <f t="shared" si="7"/>
      </c>
      <c r="H40" s="155">
        <f t="shared" si="0"/>
      </c>
      <c r="I40" s="155">
        <f t="shared" si="1"/>
      </c>
      <c r="J40" s="155">
        <f t="shared" si="2"/>
      </c>
      <c r="K40" s="156">
        <f t="shared" si="3"/>
      </c>
      <c r="L40" s="311"/>
      <c r="M40" s="311"/>
      <c r="N40" s="311"/>
      <c r="O40" s="311"/>
      <c r="P40" s="311"/>
      <c r="Q40" s="311"/>
      <c r="R40" s="311"/>
      <c r="S40" s="311"/>
      <c r="T40" s="311"/>
      <c r="U40" s="311"/>
      <c r="V40" s="311"/>
      <c r="W40" s="311"/>
      <c r="X40" s="311"/>
      <c r="Y40" s="311"/>
      <c r="Z40" s="311"/>
    </row>
    <row r="41" spans="1:26" ht="15">
      <c r="A41" s="187">
        <f t="shared" si="4"/>
      </c>
      <c r="B41" s="155">
        <f>IF(A41="","",'Dados de Entrada'!Q53)</f>
      </c>
      <c r="C41" s="155">
        <f>IF(A41="","",'Dados de Entrada'!R53)</f>
      </c>
      <c r="D41" s="155">
        <f>IF(B41="","",VLOOKUP('Dados de Entrada'!D32,'Décourt-Quaresma'!$M$15:$O$29,3))</f>
      </c>
      <c r="E41" s="155">
        <f t="shared" si="5"/>
      </c>
      <c r="F41" s="155">
        <f t="shared" si="6"/>
      </c>
      <c r="G41" s="155">
        <f t="shared" si="7"/>
      </c>
      <c r="H41" s="155">
        <f t="shared" si="0"/>
      </c>
      <c r="I41" s="155">
        <f t="shared" si="1"/>
      </c>
      <c r="J41" s="155">
        <f t="shared" si="2"/>
      </c>
      <c r="K41" s="156">
        <f t="shared" si="3"/>
      </c>
      <c r="L41" s="311"/>
      <c r="M41" s="311"/>
      <c r="N41" s="311"/>
      <c r="O41" s="311"/>
      <c r="P41" s="311"/>
      <c r="Q41" s="311"/>
      <c r="R41" s="311"/>
      <c r="S41" s="311"/>
      <c r="T41" s="311"/>
      <c r="U41" s="311"/>
      <c r="V41" s="311"/>
      <c r="W41" s="311"/>
      <c r="X41" s="311"/>
      <c r="Y41" s="311"/>
      <c r="Z41" s="311"/>
    </row>
    <row r="42" spans="1:26" ht="15">
      <c r="A42" s="187">
        <f t="shared" si="4"/>
      </c>
      <c r="B42" s="155">
        <f>IF(A42="","",'Dados de Entrada'!Q54)</f>
      </c>
      <c r="C42" s="155">
        <f>IF(A42="","",'Dados de Entrada'!R54)</f>
      </c>
      <c r="D42" s="155">
        <f>IF(B42="","",VLOOKUP('Dados de Entrada'!D33,'Décourt-Quaresma'!$M$15:$O$29,3))</f>
      </c>
      <c r="E42" s="155">
        <f t="shared" si="5"/>
      </c>
      <c r="F42" s="155">
        <f t="shared" si="6"/>
      </c>
      <c r="G42" s="155">
        <f t="shared" si="7"/>
      </c>
      <c r="H42" s="155">
        <f t="shared" si="0"/>
      </c>
      <c r="I42" s="155">
        <f t="shared" si="1"/>
      </c>
      <c r="J42" s="155">
        <f t="shared" si="2"/>
      </c>
      <c r="K42" s="156">
        <f t="shared" si="3"/>
      </c>
      <c r="L42" s="311"/>
      <c r="M42" s="311"/>
      <c r="N42" s="311"/>
      <c r="O42" s="311"/>
      <c r="P42" s="311"/>
      <c r="Q42" s="311"/>
      <c r="R42" s="311"/>
      <c r="S42" s="311"/>
      <c r="T42" s="311"/>
      <c r="U42" s="311"/>
      <c r="V42" s="311"/>
      <c r="W42" s="311"/>
      <c r="X42" s="311"/>
      <c r="Y42" s="311"/>
      <c r="Z42" s="311"/>
    </row>
    <row r="43" spans="1:26" ht="15">
      <c r="A43" s="187">
        <f t="shared" si="4"/>
      </c>
      <c r="B43" s="155">
        <f>IF(A43="","",'Dados de Entrada'!Q55)</f>
      </c>
      <c r="C43" s="155">
        <f>IF(A43="","",'Dados de Entrada'!R55)</f>
      </c>
      <c r="D43" s="155">
        <f>IF(B43="","",VLOOKUP('Dados de Entrada'!D34,'Décourt-Quaresma'!$M$15:$O$29,3))</f>
      </c>
      <c r="E43" s="155">
        <f t="shared" si="5"/>
      </c>
      <c r="F43" s="155">
        <f t="shared" si="6"/>
      </c>
      <c r="G43" s="155">
        <f t="shared" si="7"/>
      </c>
      <c r="H43" s="155">
        <f t="shared" si="0"/>
      </c>
      <c r="I43" s="155">
        <f t="shared" si="1"/>
      </c>
      <c r="J43" s="155">
        <f t="shared" si="2"/>
      </c>
      <c r="K43" s="156">
        <f t="shared" si="3"/>
      </c>
      <c r="L43" s="311"/>
      <c r="M43" s="311"/>
      <c r="N43" s="311"/>
      <c r="O43" s="311"/>
      <c r="P43" s="311"/>
      <c r="Q43" s="311"/>
      <c r="R43" s="311"/>
      <c r="S43" s="311"/>
      <c r="T43" s="311"/>
      <c r="U43" s="311"/>
      <c r="V43" s="311"/>
      <c r="W43" s="311"/>
      <c r="X43" s="311"/>
      <c r="Y43" s="311"/>
      <c r="Z43" s="311"/>
    </row>
    <row r="44" spans="1:26" ht="15">
      <c r="A44" s="187">
        <f t="shared" si="4"/>
      </c>
      <c r="B44" s="155">
        <f>IF(A44="","",'Dados de Entrada'!Q56)</f>
      </c>
      <c r="C44" s="155">
        <f>IF(A44="","",'Dados de Entrada'!R56)</f>
      </c>
      <c r="D44" s="155">
        <f>IF(B44="","",VLOOKUP('Dados de Entrada'!D35,'Décourt-Quaresma'!$M$15:$O$29,3))</f>
      </c>
      <c r="E44" s="155">
        <f t="shared" si="5"/>
      </c>
      <c r="F44" s="155">
        <f t="shared" si="6"/>
      </c>
      <c r="G44" s="155">
        <f t="shared" si="7"/>
      </c>
      <c r="H44" s="155">
        <f t="shared" si="0"/>
      </c>
      <c r="I44" s="155">
        <f t="shared" si="1"/>
      </c>
      <c r="J44" s="155">
        <f t="shared" si="2"/>
      </c>
      <c r="K44" s="156">
        <f t="shared" si="3"/>
      </c>
      <c r="L44" s="311"/>
      <c r="M44" s="311"/>
      <c r="N44" s="311"/>
      <c r="O44" s="311"/>
      <c r="P44" s="311"/>
      <c r="Q44" s="311"/>
      <c r="R44" s="311"/>
      <c r="S44" s="311"/>
      <c r="T44" s="311"/>
      <c r="U44" s="311"/>
      <c r="V44" s="311"/>
      <c r="W44" s="311"/>
      <c r="X44" s="311"/>
      <c r="Y44" s="311"/>
      <c r="Z44" s="311"/>
    </row>
    <row r="45" spans="1:26" ht="15">
      <c r="A45" s="187">
        <f t="shared" si="4"/>
      </c>
      <c r="B45" s="155">
        <f>IF(A45="","",'Dados de Entrada'!Q57)</f>
      </c>
      <c r="C45" s="155">
        <f>IF(A45="","",'Dados de Entrada'!R57)</f>
      </c>
      <c r="D45" s="155">
        <f>IF(B45="","",VLOOKUP('Dados de Entrada'!D36,'Décourt-Quaresma'!$M$15:$O$29,3))</f>
      </c>
      <c r="E45" s="155">
        <f t="shared" si="5"/>
      </c>
      <c r="F45" s="155">
        <f t="shared" si="6"/>
      </c>
      <c r="G45" s="155">
        <f t="shared" si="7"/>
      </c>
      <c r="H45" s="155">
        <f t="shared" si="0"/>
      </c>
      <c r="I45" s="155">
        <f t="shared" si="1"/>
      </c>
      <c r="J45" s="155">
        <f t="shared" si="2"/>
      </c>
      <c r="K45" s="156">
        <f t="shared" si="3"/>
      </c>
      <c r="L45" s="311"/>
      <c r="M45" s="311"/>
      <c r="N45" s="311"/>
      <c r="O45" s="311"/>
      <c r="P45" s="311"/>
      <c r="Q45" s="311"/>
      <c r="R45" s="311"/>
      <c r="S45" s="311"/>
      <c r="T45" s="311"/>
      <c r="U45" s="311"/>
      <c r="V45" s="311"/>
      <c r="W45" s="311"/>
      <c r="X45" s="311"/>
      <c r="Y45" s="311"/>
      <c r="Z45" s="311"/>
    </row>
    <row r="46" spans="1:26" ht="15">
      <c r="A46" s="187">
        <f t="shared" si="4"/>
      </c>
      <c r="B46" s="155">
        <f>IF(A46="","",'Dados de Entrada'!Q58)</f>
      </c>
      <c r="C46" s="155">
        <f>IF(A46="","",'Dados de Entrada'!R58)</f>
      </c>
      <c r="D46" s="155">
        <f>IF(B46="","",VLOOKUP('Dados de Entrada'!D37,'Décourt-Quaresma'!$M$15:$O$29,3))</f>
      </c>
      <c r="E46" s="155">
        <f t="shared" si="5"/>
      </c>
      <c r="F46" s="155">
        <f t="shared" si="6"/>
      </c>
      <c r="G46" s="155">
        <f t="shared" si="7"/>
      </c>
      <c r="H46" s="155">
        <f t="shared" si="0"/>
      </c>
      <c r="I46" s="155">
        <f t="shared" si="1"/>
      </c>
      <c r="J46" s="155">
        <f t="shared" si="2"/>
      </c>
      <c r="K46" s="156">
        <f t="shared" si="3"/>
      </c>
      <c r="L46" s="311"/>
      <c r="M46" s="311"/>
      <c r="N46" s="311"/>
      <c r="O46" s="311"/>
      <c r="P46" s="311"/>
      <c r="Q46" s="311"/>
      <c r="R46" s="311"/>
      <c r="S46" s="311"/>
      <c r="T46" s="311"/>
      <c r="U46" s="311"/>
      <c r="V46" s="311"/>
      <c r="W46" s="311"/>
      <c r="X46" s="311"/>
      <c r="Y46" s="311"/>
      <c r="Z46" s="311"/>
    </row>
    <row r="47" spans="1:26" ht="15">
      <c r="A47" s="187">
        <f t="shared" si="4"/>
      </c>
      <c r="B47" s="155">
        <f>IF(A47="","",'Dados de Entrada'!Q59)</f>
      </c>
      <c r="C47" s="155">
        <f>IF(A47="","",'Dados de Entrada'!R59)</f>
      </c>
      <c r="D47" s="155">
        <f>IF(B47="","",VLOOKUP('Dados de Entrada'!D38,'Décourt-Quaresma'!$M$15:$O$29,3))</f>
      </c>
      <c r="E47" s="155">
        <f t="shared" si="5"/>
      </c>
      <c r="F47" s="155">
        <f t="shared" si="6"/>
      </c>
      <c r="G47" s="155">
        <f t="shared" si="7"/>
      </c>
      <c r="H47" s="155">
        <f t="shared" si="0"/>
      </c>
      <c r="I47" s="155">
        <f t="shared" si="1"/>
      </c>
      <c r="J47" s="155">
        <f t="shared" si="2"/>
      </c>
      <c r="K47" s="156">
        <f t="shared" si="3"/>
      </c>
      <c r="L47" s="311"/>
      <c r="M47" s="311"/>
      <c r="N47" s="311"/>
      <c r="O47" s="311"/>
      <c r="P47" s="311"/>
      <c r="Q47" s="311"/>
      <c r="R47" s="311"/>
      <c r="S47" s="311"/>
      <c r="T47" s="311"/>
      <c r="U47" s="311"/>
      <c r="V47" s="311"/>
      <c r="W47" s="311"/>
      <c r="X47" s="311"/>
      <c r="Y47" s="311"/>
      <c r="Z47" s="311"/>
    </row>
    <row r="48" spans="1:26" ht="15">
      <c r="A48" s="187">
        <f t="shared" si="4"/>
      </c>
      <c r="B48" s="155">
        <f>IF(A48="","",'Dados de Entrada'!Q60)</f>
      </c>
      <c r="C48" s="155">
        <f>IF(A48="","",'Dados de Entrada'!R60)</f>
      </c>
      <c r="D48" s="155">
        <f>IF(B48="","",VLOOKUP('Dados de Entrada'!D39,'Décourt-Quaresma'!$M$15:$O$29,3))</f>
      </c>
      <c r="E48" s="155">
        <f t="shared" si="5"/>
      </c>
      <c r="F48" s="155">
        <f t="shared" si="6"/>
      </c>
      <c r="G48" s="155">
        <f t="shared" si="7"/>
      </c>
      <c r="H48" s="155">
        <f t="shared" si="0"/>
      </c>
      <c r="I48" s="155">
        <f t="shared" si="1"/>
      </c>
      <c r="J48" s="155">
        <f t="shared" si="2"/>
      </c>
      <c r="K48" s="156">
        <f t="shared" si="3"/>
      </c>
      <c r="L48" s="311"/>
      <c r="M48" s="311"/>
      <c r="N48" s="311"/>
      <c r="O48" s="311"/>
      <c r="P48" s="311"/>
      <c r="Q48" s="311"/>
      <c r="R48" s="311"/>
      <c r="S48" s="311"/>
      <c r="T48" s="311"/>
      <c r="U48" s="311"/>
      <c r="V48" s="311"/>
      <c r="W48" s="311"/>
      <c r="X48" s="311"/>
      <c r="Y48" s="311"/>
      <c r="Z48" s="311"/>
    </row>
    <row r="49" spans="1:26" ht="15">
      <c r="A49" s="187">
        <f t="shared" si="4"/>
      </c>
      <c r="B49" s="155">
        <f>IF(A49="","",'Dados de Entrada'!Q61)</f>
      </c>
      <c r="C49" s="155">
        <f>IF(A49="","",'Dados de Entrada'!R61)</f>
      </c>
      <c r="D49" s="155">
        <f>IF(B49="","",VLOOKUP('Dados de Entrada'!D40,'Décourt-Quaresma'!$M$15:$O$29,3))</f>
      </c>
      <c r="E49" s="155">
        <f t="shared" si="5"/>
      </c>
      <c r="F49" s="155">
        <f t="shared" si="6"/>
      </c>
      <c r="G49" s="155">
        <f t="shared" si="7"/>
      </c>
      <c r="H49" s="155">
        <f t="shared" si="0"/>
      </c>
      <c r="I49" s="155">
        <f t="shared" si="1"/>
      </c>
      <c r="J49" s="155">
        <f t="shared" si="2"/>
      </c>
      <c r="K49" s="156">
        <f t="shared" si="3"/>
      </c>
      <c r="L49" s="311"/>
      <c r="M49" s="311"/>
      <c r="N49" s="311"/>
      <c r="O49" s="311"/>
      <c r="P49" s="311"/>
      <c r="Q49" s="311"/>
      <c r="R49" s="311"/>
      <c r="S49" s="311"/>
      <c r="T49" s="311"/>
      <c r="U49" s="311"/>
      <c r="V49" s="311"/>
      <c r="W49" s="311"/>
      <c r="X49" s="311"/>
      <c r="Y49" s="311"/>
      <c r="Z49" s="311"/>
    </row>
    <row r="50" spans="1:26" ht="15">
      <c r="A50" s="187">
        <f t="shared" si="4"/>
      </c>
      <c r="B50" s="155">
        <f>IF(A50="","",'Dados de Entrada'!Q62)</f>
      </c>
      <c r="C50" s="155">
        <f>IF(A50="","",'Dados de Entrada'!R62)</f>
      </c>
      <c r="D50" s="155">
        <f>IF(B50="","",VLOOKUP('Dados de Entrada'!D41,'Décourt-Quaresma'!$M$15:$O$29,3))</f>
      </c>
      <c r="E50" s="155">
        <f t="shared" si="5"/>
      </c>
      <c r="F50" s="155">
        <f t="shared" si="6"/>
      </c>
      <c r="G50" s="155">
        <f t="shared" si="7"/>
      </c>
      <c r="H50" s="155">
        <f t="shared" si="0"/>
      </c>
      <c r="I50" s="155">
        <f t="shared" si="1"/>
      </c>
      <c r="J50" s="155">
        <f t="shared" si="2"/>
      </c>
      <c r="K50" s="156">
        <f t="shared" si="3"/>
      </c>
      <c r="L50" s="311"/>
      <c r="M50" s="311"/>
      <c r="N50" s="311"/>
      <c r="O50" s="311"/>
      <c r="P50" s="311"/>
      <c r="Q50" s="311"/>
      <c r="R50" s="311"/>
      <c r="S50" s="311"/>
      <c r="T50" s="311"/>
      <c r="U50" s="311"/>
      <c r="V50" s="311"/>
      <c r="W50" s="311"/>
      <c r="X50" s="311"/>
      <c r="Y50" s="311"/>
      <c r="Z50" s="311"/>
    </row>
    <row r="51" spans="1:26" ht="15.75" thickBot="1">
      <c r="A51" s="188">
        <f t="shared" si="4"/>
      </c>
      <c r="B51" s="158">
        <f>IF(A51="","",'Dados de Entrada'!Q63)</f>
      </c>
      <c r="C51" s="158">
        <f>IF(A51="","",'Dados de Entrada'!R63)</f>
      </c>
      <c r="D51" s="158">
        <f>IF(B51="","",VLOOKUP('Dados de Entrada'!D42,'Décourt-Quaresma'!$M$15:$O$29,3))</f>
      </c>
      <c r="E51" s="158">
        <f t="shared" si="5"/>
      </c>
      <c r="F51" s="158">
        <f t="shared" si="6"/>
      </c>
      <c r="G51" s="158">
        <f t="shared" si="7"/>
      </c>
      <c r="H51" s="158">
        <f t="shared" si="0"/>
      </c>
      <c r="I51" s="158">
        <f t="shared" si="1"/>
      </c>
      <c r="J51" s="158">
        <f t="shared" si="2"/>
      </c>
      <c r="K51" s="159">
        <f t="shared" si="3"/>
      </c>
      <c r="L51" s="311"/>
      <c r="M51" s="311"/>
      <c r="N51" s="311"/>
      <c r="O51" s="311"/>
      <c r="P51" s="311"/>
      <c r="Q51" s="311"/>
      <c r="R51" s="311"/>
      <c r="S51" s="311"/>
      <c r="T51" s="311"/>
      <c r="U51" s="311"/>
      <c r="V51" s="311"/>
      <c r="W51" s="311"/>
      <c r="X51" s="311"/>
      <c r="Y51" s="311"/>
      <c r="Z51" s="311"/>
    </row>
    <row r="52" spans="1:26" ht="15">
      <c r="A52" s="161"/>
      <c r="B52" s="161"/>
      <c r="C52" s="161"/>
      <c r="D52" s="161"/>
      <c r="E52" s="161"/>
      <c r="F52" s="161"/>
      <c r="G52" s="160"/>
      <c r="H52" s="160"/>
      <c r="I52" s="160"/>
      <c r="J52" s="160"/>
      <c r="K52" s="160"/>
      <c r="L52" s="311"/>
      <c r="M52" s="311"/>
      <c r="N52" s="311"/>
      <c r="O52" s="311"/>
      <c r="P52" s="311"/>
      <c r="Q52" s="311"/>
      <c r="R52" s="311"/>
      <c r="S52" s="311"/>
      <c r="T52" s="311"/>
      <c r="U52" s="311"/>
      <c r="V52" s="311"/>
      <c r="W52" s="311"/>
      <c r="X52" s="311"/>
      <c r="Y52" s="311"/>
      <c r="Z52" s="311"/>
    </row>
    <row r="53" spans="12:26" ht="15">
      <c r="L53" s="311"/>
      <c r="M53" s="311"/>
      <c r="N53" s="311"/>
      <c r="O53" s="311"/>
      <c r="P53" s="311"/>
      <c r="Q53" s="311"/>
      <c r="R53" s="311"/>
      <c r="S53" s="311"/>
      <c r="T53" s="311"/>
      <c r="U53" s="311"/>
      <c r="V53" s="311"/>
      <c r="W53" s="311"/>
      <c r="X53" s="311"/>
      <c r="Y53" s="311"/>
      <c r="Z53" s="311"/>
    </row>
    <row r="54" spans="12:26" ht="15">
      <c r="L54" s="311"/>
      <c r="M54" s="311"/>
      <c r="N54" s="311"/>
      <c r="O54" s="311"/>
      <c r="P54" s="311"/>
      <c r="Q54" s="311"/>
      <c r="R54" s="311"/>
      <c r="S54" s="311"/>
      <c r="T54" s="311"/>
      <c r="U54" s="311"/>
      <c r="V54" s="311"/>
      <c r="W54" s="311"/>
      <c r="X54" s="311"/>
      <c r="Y54" s="311"/>
      <c r="Z54" s="311"/>
    </row>
    <row r="55" spans="12:26" ht="15">
      <c r="L55" s="311"/>
      <c r="M55" s="311"/>
      <c r="N55" s="311"/>
      <c r="O55" s="311"/>
      <c r="P55" s="311"/>
      <c r="Q55" s="311"/>
      <c r="R55" s="311"/>
      <c r="S55" s="311"/>
      <c r="T55" s="311"/>
      <c r="U55" s="311"/>
      <c r="V55" s="311"/>
      <c r="W55" s="311"/>
      <c r="X55" s="311"/>
      <c r="Y55" s="311"/>
      <c r="Z55" s="311"/>
    </row>
    <row r="56" spans="12:26" ht="15">
      <c r="L56" s="311"/>
      <c r="M56" s="311"/>
      <c r="N56" s="311"/>
      <c r="O56" s="311"/>
      <c r="P56" s="311"/>
      <c r="Q56" s="311"/>
      <c r="R56" s="311"/>
      <c r="S56" s="311"/>
      <c r="T56" s="311"/>
      <c r="U56" s="311"/>
      <c r="V56" s="311"/>
      <c r="W56" s="311"/>
      <c r="X56" s="311"/>
      <c r="Y56" s="311"/>
      <c r="Z56" s="311"/>
    </row>
    <row r="57" spans="12:26" ht="15">
      <c r="L57" s="311"/>
      <c r="M57" s="311"/>
      <c r="N57" s="311"/>
      <c r="O57" s="311"/>
      <c r="P57" s="311"/>
      <c r="Q57" s="311"/>
      <c r="R57" s="311"/>
      <c r="S57" s="311"/>
      <c r="T57" s="311"/>
      <c r="U57" s="311"/>
      <c r="V57" s="311"/>
      <c r="W57" s="311"/>
      <c r="X57" s="311"/>
      <c r="Y57" s="311"/>
      <c r="Z57" s="311"/>
    </row>
    <row r="58" spans="12:26" ht="15">
      <c r="L58" s="311"/>
      <c r="M58" s="311"/>
      <c r="N58" s="311"/>
      <c r="O58" s="311"/>
      <c r="P58" s="311"/>
      <c r="Q58" s="311"/>
      <c r="R58" s="311"/>
      <c r="S58" s="311"/>
      <c r="T58" s="311"/>
      <c r="U58" s="311"/>
      <c r="V58" s="311"/>
      <c r="W58" s="311"/>
      <c r="X58" s="311"/>
      <c r="Y58" s="311"/>
      <c r="Z58" s="311"/>
    </row>
    <row r="59" spans="12:26" ht="15">
      <c r="L59" s="311"/>
      <c r="M59" s="311"/>
      <c r="N59" s="311"/>
      <c r="O59" s="311"/>
      <c r="P59" s="311"/>
      <c r="Q59" s="311"/>
      <c r="R59" s="311"/>
      <c r="S59" s="311"/>
      <c r="T59" s="311"/>
      <c r="U59" s="311"/>
      <c r="V59" s="311"/>
      <c r="W59" s="311"/>
      <c r="X59" s="311"/>
      <c r="Y59" s="311"/>
      <c r="Z59" s="311"/>
    </row>
    <row r="60" spans="12:26" ht="15">
      <c r="L60" s="311"/>
      <c r="M60" s="311"/>
      <c r="N60" s="311"/>
      <c r="O60" s="311"/>
      <c r="P60" s="311"/>
      <c r="Q60" s="311"/>
      <c r="R60" s="311"/>
      <c r="S60" s="311"/>
      <c r="T60" s="311"/>
      <c r="U60" s="311"/>
      <c r="V60" s="311"/>
      <c r="W60" s="311"/>
      <c r="X60" s="311"/>
      <c r="Y60" s="311"/>
      <c r="Z60" s="311"/>
    </row>
    <row r="61" spans="12:26" ht="15">
      <c r="L61" s="311"/>
      <c r="M61" s="311"/>
      <c r="N61" s="311"/>
      <c r="O61" s="311"/>
      <c r="P61" s="311"/>
      <c r="Q61" s="311"/>
      <c r="R61" s="311"/>
      <c r="S61" s="311"/>
      <c r="T61" s="311"/>
      <c r="U61" s="311"/>
      <c r="V61" s="311"/>
      <c r="W61" s="311"/>
      <c r="X61" s="311"/>
      <c r="Y61" s="311"/>
      <c r="Z61" s="311"/>
    </row>
    <row r="62" spans="12:26" ht="15">
      <c r="L62" s="311"/>
      <c r="M62" s="311"/>
      <c r="N62" s="311"/>
      <c r="O62" s="311"/>
      <c r="P62" s="311"/>
      <c r="Q62" s="311"/>
      <c r="R62" s="311"/>
      <c r="S62" s="311"/>
      <c r="T62" s="311"/>
      <c r="U62" s="311"/>
      <c r="V62" s="311"/>
      <c r="W62" s="311"/>
      <c r="X62" s="311"/>
      <c r="Y62" s="311"/>
      <c r="Z62" s="311"/>
    </row>
    <row r="63" spans="12:26" ht="15">
      <c r="L63" s="311"/>
      <c r="M63" s="311"/>
      <c r="N63" s="311"/>
      <c r="O63" s="311"/>
      <c r="P63" s="311"/>
      <c r="Q63" s="311"/>
      <c r="R63" s="311"/>
      <c r="S63" s="311"/>
      <c r="T63" s="311"/>
      <c r="U63" s="311"/>
      <c r="V63" s="311"/>
      <c r="W63" s="311"/>
      <c r="X63" s="311"/>
      <c r="Y63" s="311"/>
      <c r="Z63" s="311"/>
    </row>
    <row r="64" spans="12:26" ht="15">
      <c r="L64" s="311"/>
      <c r="M64" s="311"/>
      <c r="N64" s="311"/>
      <c r="O64" s="311"/>
      <c r="P64" s="311"/>
      <c r="Q64" s="311"/>
      <c r="R64" s="311"/>
      <c r="S64" s="311"/>
      <c r="T64" s="311"/>
      <c r="U64" s="311"/>
      <c r="V64" s="311"/>
      <c r="W64" s="311"/>
      <c r="X64" s="311"/>
      <c r="Y64" s="311"/>
      <c r="Z64" s="311"/>
    </row>
    <row r="65" spans="12:26" ht="15">
      <c r="L65" s="311"/>
      <c r="M65" s="311"/>
      <c r="N65" s="311"/>
      <c r="O65" s="311"/>
      <c r="P65" s="311"/>
      <c r="Q65" s="311"/>
      <c r="R65" s="311"/>
      <c r="S65" s="311"/>
      <c r="T65" s="311"/>
      <c r="U65" s="311"/>
      <c r="V65" s="311"/>
      <c r="W65" s="311"/>
      <c r="X65" s="311"/>
      <c r="Y65" s="311"/>
      <c r="Z65" s="311"/>
    </row>
    <row r="66" spans="12:26" ht="15">
      <c r="L66" s="311"/>
      <c r="M66" s="311"/>
      <c r="N66" s="311"/>
      <c r="O66" s="311"/>
      <c r="P66" s="311"/>
      <c r="Q66" s="311"/>
      <c r="R66" s="311"/>
      <c r="S66" s="311"/>
      <c r="T66" s="311"/>
      <c r="U66" s="311"/>
      <c r="V66" s="311"/>
      <c r="W66" s="311"/>
      <c r="X66" s="311"/>
      <c r="Y66" s="311"/>
      <c r="Z66" s="311"/>
    </row>
    <row r="67" spans="12:26" ht="15">
      <c r="L67" s="311"/>
      <c r="M67" s="311"/>
      <c r="N67" s="311"/>
      <c r="O67" s="311"/>
      <c r="P67" s="311"/>
      <c r="Q67" s="311"/>
      <c r="R67" s="311"/>
      <c r="S67" s="311"/>
      <c r="T67" s="311"/>
      <c r="U67" s="311"/>
      <c r="V67" s="311"/>
      <c r="W67" s="311"/>
      <c r="X67" s="311"/>
      <c r="Y67" s="311"/>
      <c r="Z67" s="311"/>
    </row>
    <row r="68" spans="12:26" ht="15">
      <c r="L68" s="311"/>
      <c r="M68" s="311"/>
      <c r="N68" s="311"/>
      <c r="O68" s="311"/>
      <c r="P68" s="311"/>
      <c r="Q68" s="311"/>
      <c r="R68" s="311"/>
      <c r="S68" s="311"/>
      <c r="T68" s="311"/>
      <c r="U68" s="311"/>
      <c r="V68" s="311"/>
      <c r="W68" s="311"/>
      <c r="X68" s="311"/>
      <c r="Y68" s="311"/>
      <c r="Z68" s="311"/>
    </row>
    <row r="69" spans="12:26" ht="15">
      <c r="L69" s="311"/>
      <c r="M69" s="311"/>
      <c r="N69" s="311"/>
      <c r="O69" s="311"/>
      <c r="P69" s="311"/>
      <c r="Q69" s="311"/>
      <c r="R69" s="311"/>
      <c r="S69" s="311"/>
      <c r="T69" s="311"/>
      <c r="U69" s="311"/>
      <c r="V69" s="311"/>
      <c r="W69" s="311"/>
      <c r="X69" s="311"/>
      <c r="Y69" s="311"/>
      <c r="Z69" s="311"/>
    </row>
    <row r="70" spans="12:26" ht="15">
      <c r="L70" s="311"/>
      <c r="M70" s="311"/>
      <c r="N70" s="311"/>
      <c r="O70" s="311"/>
      <c r="P70" s="311"/>
      <c r="Q70" s="311"/>
      <c r="R70" s="311"/>
      <c r="S70" s="311"/>
      <c r="T70" s="311"/>
      <c r="U70" s="311"/>
      <c r="V70" s="311"/>
      <c r="W70" s="311"/>
      <c r="X70" s="311"/>
      <c r="Y70" s="311"/>
      <c r="Z70" s="311"/>
    </row>
    <row r="71" spans="12:26" ht="15">
      <c r="L71" s="311"/>
      <c r="M71" s="311"/>
      <c r="N71" s="311"/>
      <c r="O71" s="311"/>
      <c r="P71" s="311"/>
      <c r="Q71" s="311"/>
      <c r="R71" s="311"/>
      <c r="S71" s="311"/>
      <c r="T71" s="311"/>
      <c r="U71" s="311"/>
      <c r="V71" s="311"/>
      <c r="W71" s="311"/>
      <c r="X71" s="311"/>
      <c r="Y71" s="311"/>
      <c r="Z71" s="311"/>
    </row>
    <row r="72" spans="12:26" ht="15">
      <c r="L72" s="311"/>
      <c r="M72" s="311"/>
      <c r="N72" s="311"/>
      <c r="O72" s="311"/>
      <c r="P72" s="311"/>
      <c r="Q72" s="311"/>
      <c r="R72" s="311"/>
      <c r="S72" s="311"/>
      <c r="T72" s="311"/>
      <c r="U72" s="311"/>
      <c r="V72" s="311"/>
      <c r="W72" s="311"/>
      <c r="X72" s="311"/>
      <c r="Y72" s="311"/>
      <c r="Z72" s="311"/>
    </row>
    <row r="73" spans="12:26" ht="15">
      <c r="L73" s="311"/>
      <c r="M73" s="311"/>
      <c r="N73" s="311"/>
      <c r="O73" s="311"/>
      <c r="P73" s="311"/>
      <c r="Q73" s="311"/>
      <c r="R73" s="311"/>
      <c r="S73" s="311"/>
      <c r="T73" s="311"/>
      <c r="U73" s="311"/>
      <c r="V73" s="311"/>
      <c r="W73" s="311"/>
      <c r="X73" s="311"/>
      <c r="Y73" s="311"/>
      <c r="Z73" s="311"/>
    </row>
    <row r="74" spans="12:26" ht="15">
      <c r="L74" s="311"/>
      <c r="M74" s="311"/>
      <c r="N74" s="311"/>
      <c r="O74" s="311"/>
      <c r="P74" s="311"/>
      <c r="Q74" s="311"/>
      <c r="R74" s="311"/>
      <c r="S74" s="311"/>
      <c r="T74" s="311"/>
      <c r="U74" s="311"/>
      <c r="V74" s="311"/>
      <c r="W74" s="311"/>
      <c r="X74" s="311"/>
      <c r="Y74" s="311"/>
      <c r="Z74" s="311"/>
    </row>
    <row r="75" spans="12:26" ht="15">
      <c r="L75" s="311"/>
      <c r="M75" s="311"/>
      <c r="N75" s="311"/>
      <c r="O75" s="311"/>
      <c r="P75" s="311"/>
      <c r="Q75" s="311"/>
      <c r="R75" s="311"/>
      <c r="S75" s="311"/>
      <c r="T75" s="311"/>
      <c r="U75" s="311"/>
      <c r="V75" s="311"/>
      <c r="W75" s="311"/>
      <c r="X75" s="311"/>
      <c r="Y75" s="311"/>
      <c r="Z75" s="311"/>
    </row>
    <row r="76" spans="12:26" ht="15">
      <c r="L76" s="311"/>
      <c r="M76" s="311"/>
      <c r="N76" s="311"/>
      <c r="O76" s="311"/>
      <c r="P76" s="311"/>
      <c r="Q76" s="311"/>
      <c r="R76" s="311"/>
      <c r="S76" s="311"/>
      <c r="T76" s="311"/>
      <c r="U76" s="311"/>
      <c r="V76" s="311"/>
      <c r="W76" s="311"/>
      <c r="X76" s="311"/>
      <c r="Y76" s="311"/>
      <c r="Z76" s="311"/>
    </row>
    <row r="77" spans="12:26" ht="15">
      <c r="L77" s="311"/>
      <c r="M77" s="311"/>
      <c r="N77" s="311"/>
      <c r="O77" s="311"/>
      <c r="P77" s="311"/>
      <c r="Q77" s="311"/>
      <c r="R77" s="311"/>
      <c r="S77" s="311"/>
      <c r="T77" s="311"/>
      <c r="U77" s="311"/>
      <c r="V77" s="311"/>
      <c r="W77" s="311"/>
      <c r="X77" s="311"/>
      <c r="Y77" s="311"/>
      <c r="Z77" s="311"/>
    </row>
    <row r="78" spans="12:26" ht="15">
      <c r="L78" s="311"/>
      <c r="M78" s="311"/>
      <c r="N78" s="311"/>
      <c r="O78" s="311"/>
      <c r="P78" s="311"/>
      <c r="Q78" s="311"/>
      <c r="R78" s="311"/>
      <c r="S78" s="311"/>
      <c r="T78" s="311"/>
      <c r="U78" s="311"/>
      <c r="V78" s="311"/>
      <c r="W78" s="311"/>
      <c r="X78" s="311"/>
      <c r="Y78" s="311"/>
      <c r="Z78" s="311"/>
    </row>
    <row r="79" spans="12:26" ht="15">
      <c r="L79" s="311"/>
      <c r="M79" s="311"/>
      <c r="N79" s="311"/>
      <c r="O79" s="311"/>
      <c r="P79" s="311"/>
      <c r="Q79" s="311"/>
      <c r="R79" s="311"/>
      <c r="S79" s="311"/>
      <c r="T79" s="311"/>
      <c r="U79" s="311"/>
      <c r="V79" s="311"/>
      <c r="W79" s="311"/>
      <c r="X79" s="311"/>
      <c r="Y79" s="311"/>
      <c r="Z79" s="311"/>
    </row>
    <row r="80" spans="12:26" ht="15">
      <c r="L80" s="311"/>
      <c r="M80" s="311"/>
      <c r="N80" s="311"/>
      <c r="O80" s="311"/>
      <c r="P80" s="311"/>
      <c r="Q80" s="311"/>
      <c r="R80" s="311"/>
      <c r="S80" s="311"/>
      <c r="T80" s="311"/>
      <c r="U80" s="311"/>
      <c r="V80" s="311"/>
      <c r="W80" s="311"/>
      <c r="X80" s="311"/>
      <c r="Y80" s="311"/>
      <c r="Z80" s="311"/>
    </row>
    <row r="81" spans="12:26" ht="15">
      <c r="L81" s="311"/>
      <c r="M81" s="311"/>
      <c r="N81" s="311"/>
      <c r="O81" s="311"/>
      <c r="P81" s="311"/>
      <c r="Q81" s="311"/>
      <c r="R81" s="311"/>
      <c r="S81" s="311"/>
      <c r="T81" s="311"/>
      <c r="U81" s="311"/>
      <c r="V81" s="311"/>
      <c r="W81" s="311"/>
      <c r="X81" s="311"/>
      <c r="Y81" s="311"/>
      <c r="Z81" s="311"/>
    </row>
    <row r="82" spans="12:26" ht="15">
      <c r="L82" s="311"/>
      <c r="M82" s="311"/>
      <c r="N82" s="311"/>
      <c r="O82" s="311"/>
      <c r="P82" s="311"/>
      <c r="Q82" s="311"/>
      <c r="R82" s="311"/>
      <c r="S82" s="311"/>
      <c r="T82" s="311"/>
      <c r="U82" s="311"/>
      <c r="V82" s="311"/>
      <c r="W82" s="311"/>
      <c r="X82" s="311"/>
      <c r="Y82" s="311"/>
      <c r="Z82" s="311"/>
    </row>
    <row r="83" spans="12:26" ht="15">
      <c r="L83" s="311"/>
      <c r="M83" s="311"/>
      <c r="N83" s="311"/>
      <c r="O83" s="311"/>
      <c r="P83" s="311"/>
      <c r="Q83" s="311"/>
      <c r="R83" s="311"/>
      <c r="S83" s="311"/>
      <c r="T83" s="311"/>
      <c r="U83" s="311"/>
      <c r="V83" s="311"/>
      <c r="W83" s="311"/>
      <c r="X83" s="311"/>
      <c r="Y83" s="311"/>
      <c r="Z83" s="311"/>
    </row>
    <row r="84" spans="12:26" ht="15">
      <c r="L84" s="311"/>
      <c r="M84" s="311"/>
      <c r="N84" s="311"/>
      <c r="O84" s="311"/>
      <c r="P84" s="311"/>
      <c r="Q84" s="311"/>
      <c r="R84" s="311"/>
      <c r="S84" s="311"/>
      <c r="T84" s="311"/>
      <c r="U84" s="311"/>
      <c r="V84" s="311"/>
      <c r="W84" s="311"/>
      <c r="X84" s="311"/>
      <c r="Y84" s="311"/>
      <c r="Z84" s="311"/>
    </row>
    <row r="85" spans="12:26" ht="15">
      <c r="L85" s="311"/>
      <c r="M85" s="311"/>
      <c r="N85" s="311"/>
      <c r="O85" s="311"/>
      <c r="P85" s="311"/>
      <c r="Q85" s="311"/>
      <c r="R85" s="311"/>
      <c r="S85" s="311"/>
      <c r="T85" s="311"/>
      <c r="U85" s="311"/>
      <c r="V85" s="311"/>
      <c r="W85" s="311"/>
      <c r="X85" s="311"/>
      <c r="Y85" s="311"/>
      <c r="Z85" s="311"/>
    </row>
    <row r="86" spans="12:26" ht="15">
      <c r="L86" s="311"/>
      <c r="M86" s="311"/>
      <c r="N86" s="311"/>
      <c r="O86" s="311"/>
      <c r="P86" s="311"/>
      <c r="Q86" s="311"/>
      <c r="R86" s="311"/>
      <c r="S86" s="311"/>
      <c r="T86" s="311"/>
      <c r="U86" s="311"/>
      <c r="V86" s="311"/>
      <c r="W86" s="311"/>
      <c r="X86" s="311"/>
      <c r="Y86" s="311"/>
      <c r="Z86" s="311"/>
    </row>
    <row r="87" spans="12:26" ht="15">
      <c r="L87" s="311"/>
      <c r="M87" s="311"/>
      <c r="N87" s="311"/>
      <c r="O87" s="311"/>
      <c r="P87" s="311"/>
      <c r="Q87" s="311"/>
      <c r="R87" s="311"/>
      <c r="S87" s="311"/>
      <c r="T87" s="311"/>
      <c r="U87" s="311"/>
      <c r="V87" s="311"/>
      <c r="W87" s="311"/>
      <c r="X87" s="311"/>
      <c r="Y87" s="311"/>
      <c r="Z87" s="311"/>
    </row>
    <row r="88" spans="12:26" ht="15">
      <c r="L88" s="311"/>
      <c r="M88" s="311"/>
      <c r="N88" s="311"/>
      <c r="O88" s="311"/>
      <c r="P88" s="311"/>
      <c r="Q88" s="311"/>
      <c r="R88" s="311"/>
      <c r="S88" s="311"/>
      <c r="T88" s="311"/>
      <c r="U88" s="311"/>
      <c r="V88" s="311"/>
      <c r="W88" s="311"/>
      <c r="X88" s="311"/>
      <c r="Y88" s="311"/>
      <c r="Z88" s="311"/>
    </row>
    <row r="89" spans="12:26" ht="15">
      <c r="L89" s="311"/>
      <c r="M89" s="311"/>
      <c r="N89" s="311"/>
      <c r="O89" s="311"/>
      <c r="P89" s="311"/>
      <c r="Q89" s="311"/>
      <c r="R89" s="311"/>
      <c r="S89" s="311"/>
      <c r="T89" s="311"/>
      <c r="U89" s="311"/>
      <c r="V89" s="311"/>
      <c r="W89" s="311"/>
      <c r="X89" s="311"/>
      <c r="Y89" s="311"/>
      <c r="Z89" s="311"/>
    </row>
    <row r="90" spans="12:26" ht="15">
      <c r="L90" s="311"/>
      <c r="M90" s="311"/>
      <c r="N90" s="311"/>
      <c r="O90" s="311"/>
      <c r="P90" s="311"/>
      <c r="Q90" s="311"/>
      <c r="R90" s="311"/>
      <c r="S90" s="311"/>
      <c r="T90" s="311"/>
      <c r="U90" s="311"/>
      <c r="V90" s="311"/>
      <c r="W90" s="311"/>
      <c r="X90" s="311"/>
      <c r="Y90" s="311"/>
      <c r="Z90" s="311"/>
    </row>
    <row r="91" spans="12:26" ht="15">
      <c r="L91" s="311"/>
      <c r="M91" s="311"/>
      <c r="N91" s="311"/>
      <c r="O91" s="311"/>
      <c r="P91" s="311"/>
      <c r="Q91" s="311"/>
      <c r="R91" s="311"/>
      <c r="S91" s="311"/>
      <c r="T91" s="311"/>
      <c r="U91" s="311"/>
      <c r="V91" s="311"/>
      <c r="W91" s="311"/>
      <c r="X91" s="311"/>
      <c r="Y91" s="311"/>
      <c r="Z91" s="311"/>
    </row>
    <row r="92" spans="12:26" ht="15">
      <c r="L92" s="311"/>
      <c r="M92" s="311"/>
      <c r="N92" s="311"/>
      <c r="O92" s="311"/>
      <c r="P92" s="311"/>
      <c r="Q92" s="311"/>
      <c r="R92" s="311"/>
      <c r="S92" s="311"/>
      <c r="T92" s="311"/>
      <c r="U92" s="311"/>
      <c r="V92" s="311"/>
      <c r="W92" s="311"/>
      <c r="X92" s="311"/>
      <c r="Y92" s="311"/>
      <c r="Z92" s="311"/>
    </row>
    <row r="93" spans="12:26" ht="15">
      <c r="L93" s="311"/>
      <c r="M93" s="311"/>
      <c r="N93" s="311"/>
      <c r="O93" s="311"/>
      <c r="P93" s="311"/>
      <c r="Q93" s="311"/>
      <c r="R93" s="311"/>
      <c r="S93" s="311"/>
      <c r="T93" s="311"/>
      <c r="U93" s="311"/>
      <c r="V93" s="311"/>
      <c r="W93" s="311"/>
      <c r="X93" s="311"/>
      <c r="Y93" s="311"/>
      <c r="Z93" s="311"/>
    </row>
    <row r="94" spans="12:26" ht="15">
      <c r="L94" s="311"/>
      <c r="M94" s="311"/>
      <c r="N94" s="311"/>
      <c r="O94" s="311"/>
      <c r="P94" s="311"/>
      <c r="Q94" s="311"/>
      <c r="R94" s="311"/>
      <c r="S94" s="311"/>
      <c r="T94" s="311"/>
      <c r="U94" s="311"/>
      <c r="V94" s="311"/>
      <c r="W94" s="311"/>
      <c r="X94" s="311"/>
      <c r="Y94" s="311"/>
      <c r="Z94" s="311"/>
    </row>
    <row r="95" spans="12:26" ht="15">
      <c r="L95" s="311"/>
      <c r="M95" s="311"/>
      <c r="N95" s="311"/>
      <c r="O95" s="311"/>
      <c r="P95" s="311"/>
      <c r="Q95" s="311"/>
      <c r="R95" s="311"/>
      <c r="S95" s="311"/>
      <c r="T95" s="311"/>
      <c r="U95" s="311"/>
      <c r="V95" s="311"/>
      <c r="W95" s="311"/>
      <c r="X95" s="311"/>
      <c r="Y95" s="311"/>
      <c r="Z95" s="311"/>
    </row>
    <row r="96" spans="12:26" ht="15">
      <c r="L96" s="311"/>
      <c r="M96" s="311"/>
      <c r="N96" s="311"/>
      <c r="O96" s="311"/>
      <c r="P96" s="311"/>
      <c r="Q96" s="311"/>
      <c r="R96" s="311"/>
      <c r="S96" s="311"/>
      <c r="T96" s="311"/>
      <c r="U96" s="311"/>
      <c r="V96" s="311"/>
      <c r="W96" s="311"/>
      <c r="X96" s="311"/>
      <c r="Y96" s="311"/>
      <c r="Z96" s="311"/>
    </row>
    <row r="97" spans="12:26" ht="15">
      <c r="L97" s="311"/>
      <c r="M97" s="311"/>
      <c r="N97" s="311"/>
      <c r="O97" s="311"/>
      <c r="P97" s="311"/>
      <c r="Q97" s="311"/>
      <c r="R97" s="311"/>
      <c r="S97" s="311"/>
      <c r="T97" s="311"/>
      <c r="U97" s="311"/>
      <c r="V97" s="311"/>
      <c r="W97" s="311"/>
      <c r="X97" s="311"/>
      <c r="Y97" s="311"/>
      <c r="Z97" s="311"/>
    </row>
    <row r="98" spans="12:26" ht="15">
      <c r="L98" s="311"/>
      <c r="M98" s="311"/>
      <c r="N98" s="311"/>
      <c r="O98" s="311"/>
      <c r="P98" s="311"/>
      <c r="Q98" s="311"/>
      <c r="R98" s="311"/>
      <c r="S98" s="311"/>
      <c r="T98" s="311"/>
      <c r="U98" s="311"/>
      <c r="V98" s="311"/>
      <c r="W98" s="311"/>
      <c r="X98" s="311"/>
      <c r="Y98" s="311"/>
      <c r="Z98" s="311"/>
    </row>
    <row r="99" ht="15">
      <c r="M99"/>
    </row>
    <row r="100" ht="15">
      <c r="M100"/>
    </row>
    <row r="101" ht="15">
      <c r="M101"/>
    </row>
    <row r="102" ht="15">
      <c r="M102"/>
    </row>
    <row r="103" ht="15">
      <c r="M103"/>
    </row>
    <row r="104" ht="15">
      <c r="M104"/>
    </row>
  </sheetData>
  <sheetProtection selectLockedCells="1" selectUnlockedCells="1"/>
  <mergeCells count="15">
    <mergeCell ref="A1:K1"/>
    <mergeCell ref="A2:I2"/>
    <mergeCell ref="J10:K10"/>
    <mergeCell ref="H3:I3"/>
    <mergeCell ref="H4:I4"/>
    <mergeCell ref="A10:I10"/>
    <mergeCell ref="B6:H6"/>
    <mergeCell ref="E7:F7"/>
    <mergeCell ref="E8:F8"/>
    <mergeCell ref="G7:H7"/>
    <mergeCell ref="G8:H8"/>
    <mergeCell ref="B3:D3"/>
    <mergeCell ref="B4:D4"/>
    <mergeCell ref="B7:D7"/>
    <mergeCell ref="B8:D8"/>
  </mergeCells>
  <conditionalFormatting sqref="A12">
    <cfRule type="cellIs" priority="5" dxfId="3" operator="between">
      <formula>0</formula>
      <formula>51</formula>
    </cfRule>
  </conditionalFormatting>
  <conditionalFormatting sqref="B12:H51">
    <cfRule type="cellIs" priority="4" dxfId="19" operator="between">
      <formula>-1</formula>
      <formula>9999999</formula>
    </cfRule>
  </conditionalFormatting>
  <conditionalFormatting sqref="J12:K51">
    <cfRule type="cellIs" priority="3" dxfId="19" operator="between">
      <formula>0</formula>
      <formula>9999999</formula>
    </cfRule>
  </conditionalFormatting>
  <conditionalFormatting sqref="A13:A51">
    <cfRule type="cellIs" priority="2" dxfId="19" operator="between">
      <formula>0</formula>
      <formula>41</formula>
    </cfRule>
  </conditionalFormatting>
  <conditionalFormatting sqref="I12:I51">
    <cfRule type="cellIs" priority="1" dxfId="22" operator="between">
      <formula>0</formula>
      <formula>9999999</formula>
    </cfRule>
  </conditionalFormatting>
  <printOptions/>
  <pageMargins left="0.511811024" right="0.511811024" top="0.787401575" bottom="0.787401575" header="0.31496062" footer="0.31496062"/>
  <pageSetup horizontalDpi="300" verticalDpi="300" orientation="portrait" paperSize="9" r:id="rId4"/>
  <headerFooter>
    <oddHeader>&amp;C&amp;"-,Negrito itálico"&amp;14ESTIMATIVA DA CAPACIDADE DE CARGA DE UMA ESTACA&amp;"-,Regular"&amp;11&amp;"-,Itálico"&amp;12Método de Décourt-Quaresma (1978)</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Plan5"/>
  <dimension ref="A1:AN62"/>
  <sheetViews>
    <sheetView showGridLines="0" showRowColHeaders="0" zoomScalePageLayoutView="0" workbookViewId="0" topLeftCell="A1">
      <pane ySplit="9" topLeftCell="A10" activePane="bottomLeft" state="frozen"/>
      <selection pane="topLeft" activeCell="A1" sqref="A1"/>
      <selection pane="bottomLeft" activeCell="A23" sqref="A23:I23"/>
    </sheetView>
  </sheetViews>
  <sheetFormatPr defaultColWidth="9.140625" defaultRowHeight="15"/>
  <cols>
    <col min="1" max="1" width="16.7109375" style="28" customWidth="1"/>
    <col min="2" max="11" width="12.7109375" style="0" customWidth="1"/>
    <col min="12" max="12" width="12.7109375" style="28" customWidth="1"/>
    <col min="13" max="15" width="9.7109375" style="0" customWidth="1"/>
    <col min="17" max="17" width="32.00390625" style="0" customWidth="1"/>
    <col min="18" max="19" width="15.7109375" style="0" customWidth="1"/>
    <col min="20" max="23" width="9.7109375" style="0" customWidth="1"/>
    <col min="24" max="24" width="10.7109375" style="0" customWidth="1"/>
    <col min="25" max="25" width="11.00390625" style="0" customWidth="1"/>
    <col min="26" max="27" width="9.7109375" style="0" customWidth="1"/>
    <col min="28" max="28" width="16.57421875" style="0" customWidth="1"/>
  </cols>
  <sheetData>
    <row r="1" spans="1:22" ht="21.75" thickBot="1">
      <c r="A1" s="449" t="s">
        <v>192</v>
      </c>
      <c r="B1" s="450"/>
      <c r="C1" s="450"/>
      <c r="D1" s="450"/>
      <c r="E1" s="450"/>
      <c r="F1" s="450"/>
      <c r="G1" s="450"/>
      <c r="H1" s="450"/>
      <c r="I1" s="450"/>
      <c r="J1" s="450"/>
      <c r="K1" s="450"/>
      <c r="L1" s="451"/>
      <c r="R1" s="131"/>
      <c r="S1" s="131"/>
      <c r="T1" s="131"/>
      <c r="U1" s="131"/>
      <c r="V1" s="131"/>
    </row>
    <row r="2" spans="1:32" ht="16.5" thickBot="1">
      <c r="A2" s="404" t="s">
        <v>119</v>
      </c>
      <c r="B2" s="405"/>
      <c r="C2" s="405"/>
      <c r="D2" s="405"/>
      <c r="E2" s="405"/>
      <c r="F2" s="405"/>
      <c r="G2" s="405"/>
      <c r="H2" s="405"/>
      <c r="I2" s="405"/>
      <c r="J2" s="406"/>
      <c r="K2" s="311"/>
      <c r="L2" s="311"/>
      <c r="M2" s="311"/>
      <c r="N2" s="311"/>
      <c r="O2" s="311"/>
      <c r="P2" s="311"/>
      <c r="Q2" s="311"/>
      <c r="R2" s="311"/>
      <c r="S2" s="311"/>
      <c r="T2" s="311"/>
      <c r="U2" s="311"/>
      <c r="V2" s="311"/>
      <c r="W2" s="311"/>
      <c r="X2" s="311"/>
      <c r="Y2" s="311"/>
      <c r="Z2" s="311"/>
      <c r="AA2" s="311"/>
      <c r="AB2" s="311"/>
      <c r="AC2" s="311"/>
      <c r="AD2" s="311"/>
      <c r="AE2" s="311"/>
      <c r="AF2" s="311"/>
    </row>
    <row r="3" spans="1:40" ht="15.75" thickBot="1">
      <c r="A3" s="147" t="s">
        <v>89</v>
      </c>
      <c r="B3" s="432" t="s">
        <v>76</v>
      </c>
      <c r="C3" s="445"/>
      <c r="D3" s="433"/>
      <c r="E3" s="432" t="s">
        <v>29</v>
      </c>
      <c r="F3" s="433"/>
      <c r="G3" s="138" t="s">
        <v>117</v>
      </c>
      <c r="H3" s="138" t="s">
        <v>118</v>
      </c>
      <c r="I3" s="148" t="s">
        <v>207</v>
      </c>
      <c r="J3" s="181" t="s">
        <v>189</v>
      </c>
      <c r="K3" s="311"/>
      <c r="L3" s="131"/>
      <c r="M3" s="131"/>
      <c r="N3" s="131"/>
      <c r="O3" s="131"/>
      <c r="P3" s="131" t="s">
        <v>167</v>
      </c>
      <c r="Q3" s="131"/>
      <c r="R3" s="131"/>
      <c r="S3" s="131"/>
      <c r="T3" s="131"/>
      <c r="U3" s="131"/>
      <c r="V3" s="131"/>
      <c r="W3" s="131"/>
      <c r="X3" s="131"/>
      <c r="Y3" s="131"/>
      <c r="Z3" s="131"/>
      <c r="AA3" s="131"/>
      <c r="AB3" s="131"/>
      <c r="AC3" s="131"/>
      <c r="AD3" s="131"/>
      <c r="AE3" s="131"/>
      <c r="AF3" s="131"/>
      <c r="AG3" s="131"/>
      <c r="AH3" s="131"/>
      <c r="AI3" s="131"/>
      <c r="AJ3" s="131"/>
      <c r="AK3" s="131"/>
      <c r="AL3" s="131"/>
      <c r="AM3" s="131"/>
      <c r="AN3" s="131"/>
    </row>
    <row r="4" spans="1:40" ht="15.75" thickBot="1">
      <c r="A4" s="139" t="str">
        <f>IF('Dados de Entrada'!$K$4=1,"Pré-Moldada","Moldada in-loco")</f>
        <v>Moldada in-loco</v>
      </c>
      <c r="B4" s="454" t="str">
        <f>VLOOKUP('Dados de Entrada'!$L$4,'Dados de Entrada'!$R$6:$T$16,3)</f>
        <v>Escavada</v>
      </c>
      <c r="C4" s="456"/>
      <c r="D4" s="455"/>
      <c r="E4" s="454">
        <f>'Dados de Entrada'!$M$3</f>
        <v>25</v>
      </c>
      <c r="F4" s="455"/>
      <c r="G4" s="140">
        <f>'Dados de Entrada'!$M$9*0.0001</f>
        <v>0.049087385212340524</v>
      </c>
      <c r="H4" s="141">
        <f>'Dados de Entrada'!$N$9*0.01</f>
        <v>0.7853981633974483</v>
      </c>
      <c r="I4" s="222">
        <f>'Dados de Entrada'!$N$3</f>
        <v>15</v>
      </c>
      <c r="J4" s="295">
        <v>2</v>
      </c>
      <c r="K4" s="311"/>
      <c r="L4" s="131"/>
      <c r="M4" s="131"/>
      <c r="N4" s="131"/>
      <c r="O4" s="131"/>
      <c r="P4" s="131"/>
      <c r="Q4" s="131"/>
      <c r="R4" s="131">
        <v>1</v>
      </c>
      <c r="S4" s="131">
        <v>2</v>
      </c>
      <c r="T4" s="131">
        <v>3</v>
      </c>
      <c r="U4" s="131">
        <v>4</v>
      </c>
      <c r="V4" s="131">
        <v>5</v>
      </c>
      <c r="W4" s="131">
        <v>6</v>
      </c>
      <c r="X4" s="131">
        <v>7</v>
      </c>
      <c r="Y4" s="131">
        <v>8</v>
      </c>
      <c r="Z4" s="131">
        <v>9</v>
      </c>
      <c r="AA4" s="131">
        <v>10</v>
      </c>
      <c r="AB4" s="131">
        <v>11</v>
      </c>
      <c r="AC4" s="131"/>
      <c r="AD4" s="131"/>
      <c r="AE4" s="131"/>
      <c r="AF4" s="131"/>
      <c r="AG4" s="131"/>
      <c r="AH4" s="131"/>
      <c r="AI4" s="131"/>
      <c r="AJ4" s="131"/>
      <c r="AK4" s="131"/>
      <c r="AL4" s="131"/>
      <c r="AM4" s="131"/>
      <c r="AN4" s="131"/>
    </row>
    <row r="5" spans="1:40" ht="15">
      <c r="A5" s="40"/>
      <c r="B5" s="133">
        <f>'Dados de Entrada'!$L$4</f>
        <v>6</v>
      </c>
      <c r="C5" s="40"/>
      <c r="D5" s="40"/>
      <c r="E5" s="40"/>
      <c r="F5" s="432" t="s">
        <v>155</v>
      </c>
      <c r="G5" s="445"/>
      <c r="H5" s="433"/>
      <c r="I5" s="438" t="s">
        <v>156</v>
      </c>
      <c r="J5" s="452"/>
      <c r="K5" s="311"/>
      <c r="L5" s="131"/>
      <c r="M5" s="131"/>
      <c r="N5" s="131"/>
      <c r="O5" s="131"/>
      <c r="P5" s="131"/>
      <c r="Q5" s="131" t="s">
        <v>164</v>
      </c>
      <c r="R5" s="131" t="s">
        <v>173</v>
      </c>
      <c r="S5" s="131" t="s">
        <v>174</v>
      </c>
      <c r="T5" s="131" t="s">
        <v>175</v>
      </c>
      <c r="U5" s="131" t="s">
        <v>85</v>
      </c>
      <c r="V5" s="131" t="s">
        <v>176</v>
      </c>
      <c r="W5" s="131" t="s">
        <v>62</v>
      </c>
      <c r="X5" s="131" t="s">
        <v>177</v>
      </c>
      <c r="Y5" s="131" t="s">
        <v>178</v>
      </c>
      <c r="Z5" s="131" t="s">
        <v>66</v>
      </c>
      <c r="AA5" s="131" t="s">
        <v>68</v>
      </c>
      <c r="AB5" s="131" t="s">
        <v>179</v>
      </c>
      <c r="AC5" s="131"/>
      <c r="AD5" s="131"/>
      <c r="AE5" s="131"/>
      <c r="AF5" s="131"/>
      <c r="AG5" s="131"/>
      <c r="AH5" s="131"/>
      <c r="AI5" s="131"/>
      <c r="AJ5" s="131"/>
      <c r="AK5" s="131"/>
      <c r="AL5" s="131"/>
      <c r="AM5" s="131"/>
      <c r="AN5" s="131"/>
    </row>
    <row r="6" spans="1:40" ht="15.75" thickBot="1">
      <c r="A6" s="40"/>
      <c r="B6" s="133"/>
      <c r="C6" s="40"/>
      <c r="D6" s="40"/>
      <c r="E6" s="40"/>
      <c r="F6" s="434">
        <v>100</v>
      </c>
      <c r="G6" s="453"/>
      <c r="H6" s="435"/>
      <c r="I6" s="434">
        <v>100</v>
      </c>
      <c r="J6" s="435"/>
      <c r="K6" s="31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row>
    <row r="7" spans="1:40" ht="15.75" thickBot="1">
      <c r="A7" s="40"/>
      <c r="B7" s="133"/>
      <c r="C7" s="40"/>
      <c r="D7" s="40"/>
      <c r="E7" s="40"/>
      <c r="F7" s="41"/>
      <c r="G7" s="40"/>
      <c r="H7" s="42"/>
      <c r="I7" s="42"/>
      <c r="J7" s="40"/>
      <c r="K7" s="31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row>
    <row r="8" spans="1:40" ht="19.5" thickBot="1">
      <c r="A8" s="426" t="s">
        <v>91</v>
      </c>
      <c r="B8" s="427"/>
      <c r="C8" s="427"/>
      <c r="D8" s="427"/>
      <c r="E8" s="427"/>
      <c r="F8" s="427"/>
      <c r="G8" s="427"/>
      <c r="H8" s="427"/>
      <c r="I8" s="427"/>
      <c r="J8" s="428"/>
      <c r="K8" s="311"/>
      <c r="L8" s="131"/>
      <c r="M8" s="131"/>
      <c r="N8" s="131"/>
      <c r="O8" s="131"/>
      <c r="P8" s="131">
        <v>1</v>
      </c>
      <c r="Q8" s="131" t="s">
        <v>80</v>
      </c>
      <c r="R8" s="131">
        <v>0</v>
      </c>
      <c r="S8" s="131">
        <v>0</v>
      </c>
      <c r="T8" s="131">
        <v>0</v>
      </c>
      <c r="U8" s="131">
        <v>0</v>
      </c>
      <c r="V8" s="131">
        <v>0</v>
      </c>
      <c r="W8" s="131">
        <v>0</v>
      </c>
      <c r="X8" s="131">
        <v>0</v>
      </c>
      <c r="Y8" s="131">
        <v>0</v>
      </c>
      <c r="Z8" s="131">
        <v>0</v>
      </c>
      <c r="AA8" s="131">
        <v>0</v>
      </c>
      <c r="AB8" s="131">
        <v>0</v>
      </c>
      <c r="AC8" s="131"/>
      <c r="AD8" s="131"/>
      <c r="AE8" s="131"/>
      <c r="AF8" s="131"/>
      <c r="AG8" s="131"/>
      <c r="AH8" s="131"/>
      <c r="AI8" s="131"/>
      <c r="AJ8" s="131"/>
      <c r="AK8" s="131"/>
      <c r="AL8" s="131"/>
      <c r="AM8" s="131"/>
      <c r="AN8" s="131"/>
    </row>
    <row r="9" spans="1:40" ht="18.75" thickBot="1">
      <c r="A9" s="292" t="s">
        <v>8</v>
      </c>
      <c r="B9" s="293" t="s">
        <v>103</v>
      </c>
      <c r="C9" s="293" t="s">
        <v>102</v>
      </c>
      <c r="D9" s="142" t="s">
        <v>263</v>
      </c>
      <c r="E9" s="290" t="s">
        <v>168</v>
      </c>
      <c r="F9" s="142" t="s">
        <v>125</v>
      </c>
      <c r="G9" s="142" t="s">
        <v>126</v>
      </c>
      <c r="H9" s="142" t="s">
        <v>92</v>
      </c>
      <c r="I9" s="142" t="s">
        <v>116</v>
      </c>
      <c r="J9" s="294" t="s">
        <v>101</v>
      </c>
      <c r="K9" s="311"/>
      <c r="L9" s="131" t="s">
        <v>170</v>
      </c>
      <c r="M9" s="131" t="s">
        <v>166</v>
      </c>
      <c r="N9" s="131" t="s">
        <v>169</v>
      </c>
      <c r="O9" s="131"/>
      <c r="P9" s="131">
        <v>2</v>
      </c>
      <c r="Q9" s="131" t="s">
        <v>13</v>
      </c>
      <c r="R9" s="131">
        <v>400</v>
      </c>
      <c r="S9" s="131">
        <v>400</v>
      </c>
      <c r="T9" s="131">
        <v>400</v>
      </c>
      <c r="U9" s="131">
        <v>400</v>
      </c>
      <c r="V9" s="131">
        <v>270</v>
      </c>
      <c r="W9" s="131">
        <v>270</v>
      </c>
      <c r="X9" s="131">
        <v>270</v>
      </c>
      <c r="Y9" s="131">
        <v>340</v>
      </c>
      <c r="Z9" s="131">
        <v>340</v>
      </c>
      <c r="AA9" s="131">
        <v>260</v>
      </c>
      <c r="AB9" s="131">
        <v>270</v>
      </c>
      <c r="AC9" s="131"/>
      <c r="AD9" s="131"/>
      <c r="AE9" s="131"/>
      <c r="AF9" s="131"/>
      <c r="AG9" s="131"/>
      <c r="AH9" s="131"/>
      <c r="AI9" s="131"/>
      <c r="AJ9" s="131"/>
      <c r="AK9" s="131"/>
      <c r="AL9" s="131"/>
      <c r="AM9" s="131"/>
      <c r="AN9" s="131"/>
    </row>
    <row r="10" spans="1:40" ht="15.75" thickBot="1">
      <c r="A10" s="168">
        <v>1</v>
      </c>
      <c r="B10" s="185">
        <f>IF(A10="","",'Dados de Entrada'!T24)</f>
        <v>5</v>
      </c>
      <c r="C10" s="185">
        <f>IF(A10="","",'Dados de Entrada'!U24)</f>
        <v>5</v>
      </c>
      <c r="D10" s="285">
        <f>IF(B10="","",M10)</f>
        <v>130</v>
      </c>
      <c r="E10" s="285">
        <f>IF(C10="","",N10)</f>
        <v>4</v>
      </c>
      <c r="F10" s="185">
        <f>IF(A10="","",M10*B10*$G$4*$F$6/100)</f>
        <v>31.90680038802134</v>
      </c>
      <c r="G10" s="185">
        <f>IF(A10="","",C10*N10*$H$4*$I$6/100)</f>
        <v>15.707963267948964</v>
      </c>
      <c r="H10" s="185">
        <f>IF(A10="","",G10)</f>
        <v>15.707963267948964</v>
      </c>
      <c r="I10" s="185">
        <f>IF(A10="","",F10+H10)</f>
        <v>47.61476365597031</v>
      </c>
      <c r="J10" s="189">
        <f>IF(A10="","",I10/$J$4)</f>
        <v>23.807381827985154</v>
      </c>
      <c r="K10" s="311"/>
      <c r="L10" s="131">
        <f>'Dados de Entrada'!D3</f>
        <v>13</v>
      </c>
      <c r="M10" s="131">
        <f aca="true" t="shared" si="0" ref="M10:M49">INDEX($P$4:$AB$23,MATCH(L10,$P$4:$P$23,0),MATCH($B$5,$P$4:$AB$4,0))</f>
        <v>130</v>
      </c>
      <c r="N10" s="131">
        <f>VLOOKUP($B$5,$P$27:$R$37,3)</f>
        <v>4</v>
      </c>
      <c r="O10" s="131"/>
      <c r="P10" s="131">
        <v>3</v>
      </c>
      <c r="Q10" s="131" t="s">
        <v>14</v>
      </c>
      <c r="R10" s="131">
        <v>360</v>
      </c>
      <c r="S10" s="131">
        <v>360</v>
      </c>
      <c r="T10" s="131">
        <v>360</v>
      </c>
      <c r="U10" s="131">
        <v>360</v>
      </c>
      <c r="V10" s="131">
        <v>240</v>
      </c>
      <c r="W10" s="131">
        <v>240</v>
      </c>
      <c r="X10" s="131">
        <v>240</v>
      </c>
      <c r="Y10" s="131">
        <v>300</v>
      </c>
      <c r="Z10" s="131">
        <v>300</v>
      </c>
      <c r="AA10" s="131">
        <v>220</v>
      </c>
      <c r="AB10" s="131">
        <v>240</v>
      </c>
      <c r="AC10" s="131"/>
      <c r="AD10" s="131"/>
      <c r="AE10" s="131"/>
      <c r="AF10" s="131"/>
      <c r="AG10" s="131"/>
      <c r="AH10" s="131"/>
      <c r="AI10" s="131"/>
      <c r="AJ10" s="131"/>
      <c r="AK10" s="131"/>
      <c r="AL10" s="131"/>
      <c r="AM10" s="131"/>
      <c r="AN10" s="131"/>
    </row>
    <row r="11" spans="1:40" ht="15">
      <c r="A11" s="190">
        <f>IF(A10="","",IF($I$4&gt;=A10+1,A10+1,""))</f>
        <v>2</v>
      </c>
      <c r="B11" s="155">
        <f>IF(A11="","",'Dados de Entrada'!T25)</f>
        <v>5</v>
      </c>
      <c r="C11" s="155">
        <f>IF(A11="","",'Dados de Entrada'!U25)</f>
        <v>5</v>
      </c>
      <c r="D11" s="286">
        <f>IF(B11="","",M11)</f>
        <v>130</v>
      </c>
      <c r="E11" s="286">
        <f>IF(C11="","",N11)</f>
        <v>4</v>
      </c>
      <c r="F11" s="185">
        <f>IF(A11="","",M11*B11*$G$4*$F$6/100)</f>
        <v>31.90680038802134</v>
      </c>
      <c r="G11" s="155">
        <f>IF(A11="","",C11*N11*$H$4*$I$6/100)</f>
        <v>15.707963267948964</v>
      </c>
      <c r="H11" s="155">
        <f>IF(A11="","",H10+G11)</f>
        <v>31.415926535897928</v>
      </c>
      <c r="I11" s="155">
        <f>IF(A11="","",F11+H11)</f>
        <v>63.32272692391927</v>
      </c>
      <c r="J11" s="191">
        <f>IF(A11="","",I11/$J$4)</f>
        <v>31.661363461959635</v>
      </c>
      <c r="K11" s="311"/>
      <c r="L11" s="131">
        <f>'Dados de Entrada'!D4</f>
        <v>13</v>
      </c>
      <c r="M11" s="131">
        <f t="shared" si="0"/>
        <v>130</v>
      </c>
      <c r="N11" s="131">
        <f aca="true" t="shared" si="1" ref="N11:N49">VLOOKUP($B$5,$P$27:$R$37,3)</f>
        <v>4</v>
      </c>
      <c r="O11" s="131"/>
      <c r="P11" s="131">
        <v>4</v>
      </c>
      <c r="Q11" s="131" t="s">
        <v>172</v>
      </c>
      <c r="R11" s="131">
        <v>330</v>
      </c>
      <c r="S11" s="131">
        <v>330</v>
      </c>
      <c r="T11" s="131">
        <v>330</v>
      </c>
      <c r="U11" s="131">
        <v>330</v>
      </c>
      <c r="V11" s="131">
        <v>220</v>
      </c>
      <c r="W11" s="131">
        <v>220</v>
      </c>
      <c r="X11" s="131">
        <v>220</v>
      </c>
      <c r="Y11" s="131">
        <v>270</v>
      </c>
      <c r="Z11" s="131">
        <v>270</v>
      </c>
      <c r="AA11" s="131">
        <v>205</v>
      </c>
      <c r="AB11" s="131">
        <v>220</v>
      </c>
      <c r="AC11" s="131"/>
      <c r="AD11" s="131"/>
      <c r="AE11" s="131"/>
      <c r="AF11" s="131"/>
      <c r="AG11" s="131"/>
      <c r="AH11" s="131"/>
      <c r="AI11" s="131"/>
      <c r="AJ11" s="131"/>
      <c r="AK11" s="131"/>
      <c r="AL11" s="131"/>
      <c r="AM11" s="131"/>
      <c r="AN11" s="131"/>
    </row>
    <row r="12" spans="1:40" ht="15">
      <c r="A12" s="190">
        <f aca="true" t="shared" si="2" ref="A12:A49">IF(A11="","",IF($I$4&gt;=A11+1,A11+1,""))</f>
        <v>3</v>
      </c>
      <c r="B12" s="155">
        <f>IF(A12="","",'Dados de Entrada'!T26)</f>
        <v>4.5</v>
      </c>
      <c r="C12" s="155">
        <f>IF(A12="","",'Dados de Entrada'!U26)</f>
        <v>4.666666666666667</v>
      </c>
      <c r="D12" s="286">
        <f aca="true" t="shared" si="3" ref="D12:D49">IF(B12="","",M12)</f>
        <v>130</v>
      </c>
      <c r="E12" s="286">
        <f aca="true" t="shared" si="4" ref="E12:E49">IF(C12="","",N12)</f>
        <v>4</v>
      </c>
      <c r="F12" s="155">
        <f>IF(A12="","",M12*B12*$G$4*$F$6/100)</f>
        <v>28.716120349219203</v>
      </c>
      <c r="G12" s="155">
        <f aca="true" t="shared" si="5" ref="G12:G49">IF(A12="","",C12*N12*$H$4*$I$6/100)</f>
        <v>14.660765716752369</v>
      </c>
      <c r="H12" s="155">
        <f>IF(A12="","",H11+G12)</f>
        <v>46.0766922526503</v>
      </c>
      <c r="I12" s="155">
        <f>IF(A12="","",F12+H12)</f>
        <v>74.7928126018695</v>
      </c>
      <c r="J12" s="191">
        <f aca="true" t="shared" si="6" ref="J12:J49">IF(A12="","",I12/$J$4)</f>
        <v>37.39640630093475</v>
      </c>
      <c r="K12" s="311"/>
      <c r="L12" s="131">
        <f>'Dados de Entrada'!D5</f>
        <v>13</v>
      </c>
      <c r="M12" s="131">
        <f t="shared" si="0"/>
        <v>130</v>
      </c>
      <c r="N12" s="131">
        <f t="shared" si="1"/>
        <v>4</v>
      </c>
      <c r="O12" s="131"/>
      <c r="P12" s="131">
        <v>5</v>
      </c>
      <c r="Q12" s="131" t="s">
        <v>16</v>
      </c>
      <c r="R12" s="131">
        <v>300</v>
      </c>
      <c r="S12" s="131">
        <v>300</v>
      </c>
      <c r="T12" s="131">
        <v>300</v>
      </c>
      <c r="U12" s="131">
        <v>300</v>
      </c>
      <c r="V12" s="131">
        <v>200</v>
      </c>
      <c r="W12" s="131">
        <v>200</v>
      </c>
      <c r="X12" s="131">
        <v>200</v>
      </c>
      <c r="Y12" s="131">
        <v>240</v>
      </c>
      <c r="Z12" s="131">
        <v>240</v>
      </c>
      <c r="AA12" s="131">
        <v>190</v>
      </c>
      <c r="AB12" s="131">
        <v>200</v>
      </c>
      <c r="AC12" s="131"/>
      <c r="AD12" s="131"/>
      <c r="AE12" s="131"/>
      <c r="AF12" s="131"/>
      <c r="AG12" s="131"/>
      <c r="AH12" s="131"/>
      <c r="AI12" s="131"/>
      <c r="AJ12" s="131"/>
      <c r="AK12" s="131"/>
      <c r="AL12" s="131"/>
      <c r="AM12" s="131"/>
      <c r="AN12" s="131"/>
    </row>
    <row r="13" spans="1:40" ht="15">
      <c r="A13" s="190">
        <f t="shared" si="2"/>
        <v>4</v>
      </c>
      <c r="B13" s="155">
        <f>IF(A13="","",'Dados de Entrada'!T27)</f>
        <v>5</v>
      </c>
      <c r="C13" s="155">
        <f>IF(A13="","",'Dados de Entrada'!U27)</f>
        <v>5</v>
      </c>
      <c r="D13" s="286">
        <f t="shared" si="3"/>
        <v>130</v>
      </c>
      <c r="E13" s="286">
        <f t="shared" si="4"/>
        <v>4</v>
      </c>
      <c r="F13" s="155">
        <f>IF(A13="","",M13*B13*$G$4*$F$6/100)</f>
        <v>31.90680038802134</v>
      </c>
      <c r="G13" s="155">
        <f t="shared" si="5"/>
        <v>15.707963267948964</v>
      </c>
      <c r="H13" s="155">
        <f>IF(A13="","",H12+G13)</f>
        <v>61.78465552059926</v>
      </c>
      <c r="I13" s="155">
        <f aca="true" t="shared" si="7" ref="I13:I49">IF(A13="","",F13+H13)</f>
        <v>93.6914559086206</v>
      </c>
      <c r="J13" s="191">
        <f t="shared" si="6"/>
        <v>46.8457279543103</v>
      </c>
      <c r="K13" s="311"/>
      <c r="L13" s="131">
        <f>'Dados de Entrada'!D6</f>
        <v>13</v>
      </c>
      <c r="M13" s="131">
        <f t="shared" si="0"/>
        <v>130</v>
      </c>
      <c r="N13" s="131">
        <f t="shared" si="1"/>
        <v>4</v>
      </c>
      <c r="O13" s="131"/>
      <c r="P13" s="131">
        <v>6</v>
      </c>
      <c r="Q13" s="131" t="s">
        <v>180</v>
      </c>
      <c r="R13" s="131">
        <v>330</v>
      </c>
      <c r="S13" s="131">
        <v>330</v>
      </c>
      <c r="T13" s="131">
        <v>330</v>
      </c>
      <c r="U13" s="131">
        <v>330</v>
      </c>
      <c r="V13" s="131">
        <v>220</v>
      </c>
      <c r="W13" s="131">
        <v>220</v>
      </c>
      <c r="X13" s="131">
        <v>220</v>
      </c>
      <c r="Y13" s="131">
        <v>270</v>
      </c>
      <c r="Z13" s="131">
        <v>270</v>
      </c>
      <c r="AA13" s="131">
        <v>205</v>
      </c>
      <c r="AB13" s="131">
        <v>220</v>
      </c>
      <c r="AC13" s="131"/>
      <c r="AD13" s="131"/>
      <c r="AE13" s="131"/>
      <c r="AF13" s="131"/>
      <c r="AG13" s="131"/>
      <c r="AH13" s="131"/>
      <c r="AI13" s="131"/>
      <c r="AJ13" s="131"/>
      <c r="AK13" s="131"/>
      <c r="AL13" s="131"/>
      <c r="AM13" s="131"/>
      <c r="AN13" s="131"/>
    </row>
    <row r="14" spans="1:40" ht="15">
      <c r="A14" s="190">
        <f t="shared" si="2"/>
        <v>5</v>
      </c>
      <c r="B14" s="155">
        <f>IF(A14="","",'Dados de Entrada'!T28)</f>
        <v>8</v>
      </c>
      <c r="C14" s="155">
        <f>IF(A14="","",'Dados de Entrada'!U28)</f>
        <v>6</v>
      </c>
      <c r="D14" s="286">
        <f t="shared" si="3"/>
        <v>130</v>
      </c>
      <c r="E14" s="286">
        <f t="shared" si="4"/>
        <v>4</v>
      </c>
      <c r="F14" s="155">
        <f>IF(A14="","",M14*B14*$G$4*$F$6/100)</f>
        <v>51.05088062083414</v>
      </c>
      <c r="G14" s="155">
        <f t="shared" si="5"/>
        <v>18.84955592153876</v>
      </c>
      <c r="H14" s="155">
        <f aca="true" t="shared" si="8" ref="H14:H49">IF(A14="","",H13+G14)</f>
        <v>80.63421144213802</v>
      </c>
      <c r="I14" s="155">
        <f t="shared" si="7"/>
        <v>131.68509206297216</v>
      </c>
      <c r="J14" s="191">
        <f t="shared" si="6"/>
        <v>65.84254603148608</v>
      </c>
      <c r="K14" s="311"/>
      <c r="L14" s="131">
        <f>'Dados de Entrada'!D7</f>
        <v>13</v>
      </c>
      <c r="M14" s="131">
        <f t="shared" si="0"/>
        <v>130</v>
      </c>
      <c r="N14" s="131">
        <f t="shared" si="1"/>
        <v>4</v>
      </c>
      <c r="O14" s="131"/>
      <c r="P14" s="131">
        <v>7</v>
      </c>
      <c r="Q14" s="131" t="s">
        <v>185</v>
      </c>
      <c r="R14" s="131">
        <v>160</v>
      </c>
      <c r="S14" s="131">
        <v>160</v>
      </c>
      <c r="T14" s="131">
        <v>160</v>
      </c>
      <c r="U14" s="131">
        <v>160</v>
      </c>
      <c r="V14" s="131">
        <v>110</v>
      </c>
      <c r="W14" s="131">
        <v>110</v>
      </c>
      <c r="X14" s="131">
        <v>110</v>
      </c>
      <c r="Y14" s="131">
        <v>120</v>
      </c>
      <c r="Z14" s="131">
        <v>120</v>
      </c>
      <c r="AA14" s="131">
        <v>110</v>
      </c>
      <c r="AB14" s="131">
        <v>110</v>
      </c>
      <c r="AC14" s="131"/>
      <c r="AD14" s="131"/>
      <c r="AE14" s="131"/>
      <c r="AF14" s="131"/>
      <c r="AG14" s="131"/>
      <c r="AH14" s="131"/>
      <c r="AI14" s="131"/>
      <c r="AJ14" s="131"/>
      <c r="AK14" s="131"/>
      <c r="AL14" s="131"/>
      <c r="AM14" s="131"/>
      <c r="AN14" s="131"/>
    </row>
    <row r="15" spans="1:40" ht="15">
      <c r="A15" s="190">
        <f t="shared" si="2"/>
        <v>6</v>
      </c>
      <c r="B15" s="155">
        <f>IF(A15="","",'Dados de Entrada'!T29)</f>
        <v>9.5</v>
      </c>
      <c r="C15" s="155">
        <f>IF(A15="","",'Dados de Entrada'!U29)</f>
        <v>6.5</v>
      </c>
      <c r="D15" s="286">
        <f t="shared" si="3"/>
        <v>130</v>
      </c>
      <c r="E15" s="286">
        <f t="shared" si="4"/>
        <v>4</v>
      </c>
      <c r="F15" s="155">
        <f aca="true" t="shared" si="9" ref="F15:F49">IF(A15="","",M15*B15*$G$4*$F$6/100)</f>
        <v>60.62292073724055</v>
      </c>
      <c r="G15" s="155">
        <f t="shared" si="5"/>
        <v>20.420352248333657</v>
      </c>
      <c r="H15" s="155">
        <f t="shared" si="8"/>
        <v>101.05456369047168</v>
      </c>
      <c r="I15" s="155">
        <f t="shared" si="7"/>
        <v>161.67748442771222</v>
      </c>
      <c r="J15" s="191">
        <f t="shared" si="6"/>
        <v>80.83874221385611</v>
      </c>
      <c r="K15" s="311"/>
      <c r="L15" s="131">
        <f>'Dados de Entrada'!D8</f>
        <v>13</v>
      </c>
      <c r="M15" s="131">
        <f t="shared" si="0"/>
        <v>130</v>
      </c>
      <c r="N15" s="131">
        <f t="shared" si="1"/>
        <v>4</v>
      </c>
      <c r="O15" s="131"/>
      <c r="P15" s="131">
        <v>8</v>
      </c>
      <c r="Q15" s="131" t="s">
        <v>19</v>
      </c>
      <c r="R15" s="131">
        <v>260</v>
      </c>
      <c r="S15" s="131">
        <v>260</v>
      </c>
      <c r="T15" s="131">
        <v>260</v>
      </c>
      <c r="U15" s="131">
        <v>260</v>
      </c>
      <c r="V15" s="131">
        <v>160</v>
      </c>
      <c r="W15" s="131">
        <v>160</v>
      </c>
      <c r="X15" s="131">
        <v>160</v>
      </c>
      <c r="Y15" s="131">
        <v>210</v>
      </c>
      <c r="Z15" s="131">
        <v>210</v>
      </c>
      <c r="AA15" s="131">
        <v>160</v>
      </c>
      <c r="AB15" s="131">
        <v>160</v>
      </c>
      <c r="AC15" s="131"/>
      <c r="AD15" s="131"/>
      <c r="AE15" s="131"/>
      <c r="AF15" s="131"/>
      <c r="AG15" s="131"/>
      <c r="AH15" s="131"/>
      <c r="AI15" s="131"/>
      <c r="AJ15" s="131"/>
      <c r="AK15" s="131"/>
      <c r="AL15" s="131"/>
      <c r="AM15" s="131"/>
      <c r="AN15" s="131"/>
    </row>
    <row r="16" spans="1:40" ht="15">
      <c r="A16" s="190">
        <f t="shared" si="2"/>
        <v>7</v>
      </c>
      <c r="B16" s="155">
        <f>IF(A16="","",'Dados de Entrada'!T30)</f>
        <v>11.5</v>
      </c>
      <c r="C16" s="155">
        <f>IF(A16="","",'Dados de Entrada'!U30)</f>
        <v>7.571428571428571</v>
      </c>
      <c r="D16" s="286">
        <f t="shared" si="3"/>
        <v>130</v>
      </c>
      <c r="E16" s="286">
        <f t="shared" si="4"/>
        <v>4</v>
      </c>
      <c r="F16" s="155">
        <f t="shared" si="9"/>
        <v>73.38564089244909</v>
      </c>
      <c r="G16" s="155">
        <f t="shared" si="5"/>
        <v>23.786344377179862</v>
      </c>
      <c r="H16" s="155">
        <f t="shared" si="8"/>
        <v>124.84090806765154</v>
      </c>
      <c r="I16" s="155">
        <f t="shared" si="7"/>
        <v>198.22654896010062</v>
      </c>
      <c r="J16" s="191">
        <f t="shared" si="6"/>
        <v>99.11327448005031</v>
      </c>
      <c r="K16" s="311"/>
      <c r="L16" s="131">
        <f>'Dados de Entrada'!D9</f>
        <v>13</v>
      </c>
      <c r="M16" s="131">
        <f t="shared" si="0"/>
        <v>130</v>
      </c>
      <c r="N16" s="131">
        <f t="shared" si="1"/>
        <v>4</v>
      </c>
      <c r="O16" s="131"/>
      <c r="P16" s="131">
        <v>9</v>
      </c>
      <c r="Q16" s="131" t="s">
        <v>181</v>
      </c>
      <c r="R16" s="131">
        <v>210</v>
      </c>
      <c r="S16" s="131">
        <v>210</v>
      </c>
      <c r="T16" s="131">
        <v>210</v>
      </c>
      <c r="U16" s="131">
        <v>210</v>
      </c>
      <c r="V16" s="131">
        <v>135</v>
      </c>
      <c r="W16" s="131">
        <v>135</v>
      </c>
      <c r="X16" s="131">
        <v>135</v>
      </c>
      <c r="Y16" s="131">
        <v>165</v>
      </c>
      <c r="Z16" s="131">
        <v>165</v>
      </c>
      <c r="AA16" s="131">
        <v>135</v>
      </c>
      <c r="AB16" s="131">
        <v>135</v>
      </c>
      <c r="AC16" s="131"/>
      <c r="AD16" s="131"/>
      <c r="AE16" s="131"/>
      <c r="AF16" s="131"/>
      <c r="AG16" s="131"/>
      <c r="AH16" s="131"/>
      <c r="AI16" s="131"/>
      <c r="AJ16" s="131"/>
      <c r="AK16" s="131"/>
      <c r="AL16" s="131"/>
      <c r="AM16" s="131"/>
      <c r="AN16" s="131"/>
    </row>
    <row r="17" spans="1:40" ht="15">
      <c r="A17" s="190">
        <f t="shared" si="2"/>
        <v>8</v>
      </c>
      <c r="B17" s="155">
        <f>IF(A17="","",'Dados de Entrada'!T31)</f>
        <v>13</v>
      </c>
      <c r="C17" s="155">
        <f>IF(A17="","",'Dados de Entrada'!U31)</f>
        <v>8.125</v>
      </c>
      <c r="D17" s="286">
        <f t="shared" si="3"/>
        <v>130</v>
      </c>
      <c r="E17" s="286">
        <f t="shared" si="4"/>
        <v>4</v>
      </c>
      <c r="F17" s="155">
        <f t="shared" si="9"/>
        <v>82.95768100885549</v>
      </c>
      <c r="G17" s="155">
        <f t="shared" si="5"/>
        <v>25.525440310417068</v>
      </c>
      <c r="H17" s="155">
        <f t="shared" si="8"/>
        <v>150.3663483780686</v>
      </c>
      <c r="I17" s="155">
        <f t="shared" si="7"/>
        <v>233.3240293869241</v>
      </c>
      <c r="J17" s="191">
        <f t="shared" si="6"/>
        <v>116.66201469346205</v>
      </c>
      <c r="K17" s="311"/>
      <c r="L17" s="131">
        <f>'Dados de Entrada'!D10</f>
        <v>13</v>
      </c>
      <c r="M17" s="131">
        <f t="shared" si="0"/>
        <v>130</v>
      </c>
      <c r="N17" s="131">
        <f t="shared" si="1"/>
        <v>4</v>
      </c>
      <c r="O17" s="131"/>
      <c r="P17" s="131">
        <v>10</v>
      </c>
      <c r="Q17" s="131" t="s">
        <v>21</v>
      </c>
      <c r="R17" s="131">
        <v>160</v>
      </c>
      <c r="S17" s="131">
        <v>160</v>
      </c>
      <c r="T17" s="131">
        <v>160</v>
      </c>
      <c r="U17" s="131">
        <v>160</v>
      </c>
      <c r="V17" s="131">
        <v>110</v>
      </c>
      <c r="W17" s="131">
        <v>110</v>
      </c>
      <c r="X17" s="131">
        <v>110</v>
      </c>
      <c r="Y17" s="131">
        <v>120</v>
      </c>
      <c r="Z17" s="131">
        <v>120</v>
      </c>
      <c r="AA17" s="131">
        <v>110</v>
      </c>
      <c r="AB17" s="131">
        <v>110</v>
      </c>
      <c r="AC17" s="131"/>
      <c r="AD17" s="131"/>
      <c r="AE17" s="131"/>
      <c r="AF17" s="131"/>
      <c r="AG17" s="131"/>
      <c r="AH17" s="131"/>
      <c r="AI17" s="131"/>
      <c r="AJ17" s="131"/>
      <c r="AK17" s="131"/>
      <c r="AL17" s="131"/>
      <c r="AM17" s="131"/>
      <c r="AN17" s="131"/>
    </row>
    <row r="18" spans="1:40" ht="15">
      <c r="A18" s="190">
        <f t="shared" si="2"/>
        <v>9</v>
      </c>
      <c r="B18" s="155">
        <f>IF(A18="","",'Dados de Entrada'!T32)</f>
        <v>13.5</v>
      </c>
      <c r="C18" s="155">
        <f>IF(A18="","",'Dados de Entrada'!U32)</f>
        <v>8.88888888888889</v>
      </c>
      <c r="D18" s="286">
        <f t="shared" si="3"/>
        <v>130</v>
      </c>
      <c r="E18" s="286">
        <f t="shared" si="4"/>
        <v>4</v>
      </c>
      <c r="F18" s="155">
        <f t="shared" si="9"/>
        <v>86.14836104765762</v>
      </c>
      <c r="G18" s="155">
        <f t="shared" si="5"/>
        <v>27.925268031909273</v>
      </c>
      <c r="H18" s="155">
        <f t="shared" si="8"/>
        <v>178.29161640997788</v>
      </c>
      <c r="I18" s="155">
        <f t="shared" si="7"/>
        <v>264.4399774576355</v>
      </c>
      <c r="J18" s="191">
        <f t="shared" si="6"/>
        <v>132.21998872881775</v>
      </c>
      <c r="K18" s="311"/>
      <c r="L18" s="131">
        <f>'Dados de Entrada'!D11</f>
        <v>13</v>
      </c>
      <c r="M18" s="131">
        <f t="shared" si="0"/>
        <v>130</v>
      </c>
      <c r="N18" s="131">
        <f t="shared" si="1"/>
        <v>4</v>
      </c>
      <c r="O18" s="131"/>
      <c r="P18" s="131">
        <v>11</v>
      </c>
      <c r="Q18" s="131" t="s">
        <v>182</v>
      </c>
      <c r="R18" s="131">
        <v>210</v>
      </c>
      <c r="S18" s="131">
        <v>210</v>
      </c>
      <c r="T18" s="131">
        <v>210</v>
      </c>
      <c r="U18" s="131">
        <v>210</v>
      </c>
      <c r="V18" s="131">
        <v>135</v>
      </c>
      <c r="W18" s="131">
        <v>135</v>
      </c>
      <c r="X18" s="131">
        <v>135</v>
      </c>
      <c r="Y18" s="131">
        <v>165</v>
      </c>
      <c r="Z18" s="131">
        <v>165</v>
      </c>
      <c r="AA18" s="131">
        <v>135</v>
      </c>
      <c r="AB18" s="131">
        <v>135</v>
      </c>
      <c r="AC18" s="131"/>
      <c r="AD18" s="131"/>
      <c r="AE18" s="131"/>
      <c r="AF18" s="131"/>
      <c r="AG18" s="131"/>
      <c r="AH18" s="131"/>
      <c r="AI18" s="131"/>
      <c r="AJ18" s="131"/>
      <c r="AK18" s="131"/>
      <c r="AL18" s="131"/>
      <c r="AM18" s="131"/>
      <c r="AN18" s="131"/>
    </row>
    <row r="19" spans="1:40" ht="15">
      <c r="A19" s="190">
        <f t="shared" si="2"/>
        <v>10</v>
      </c>
      <c r="B19" s="155">
        <f>IF(A19="","",'Dados de Entrada'!T33)</f>
        <v>13.5</v>
      </c>
      <c r="C19" s="155">
        <f>IF(A19="","",'Dados de Entrada'!U33)</f>
        <v>9.2</v>
      </c>
      <c r="D19" s="286">
        <f t="shared" si="3"/>
        <v>130</v>
      </c>
      <c r="E19" s="286">
        <f t="shared" si="4"/>
        <v>4</v>
      </c>
      <c r="F19" s="155">
        <f t="shared" si="9"/>
        <v>86.14836104765762</v>
      </c>
      <c r="G19" s="155">
        <f t="shared" si="5"/>
        <v>28.902652413026093</v>
      </c>
      <c r="H19" s="155">
        <f t="shared" si="8"/>
        <v>207.19426882300397</v>
      </c>
      <c r="I19" s="155">
        <f t="shared" si="7"/>
        <v>293.3426298706616</v>
      </c>
      <c r="J19" s="191">
        <f t="shared" si="6"/>
        <v>146.6713149353308</v>
      </c>
      <c r="K19" s="311"/>
      <c r="L19" s="131">
        <f>'Dados de Entrada'!D12</f>
        <v>13</v>
      </c>
      <c r="M19" s="131">
        <f t="shared" si="0"/>
        <v>130</v>
      </c>
      <c r="N19" s="131">
        <f t="shared" si="1"/>
        <v>4</v>
      </c>
      <c r="O19" s="131"/>
      <c r="P19" s="131">
        <v>12</v>
      </c>
      <c r="Q19" s="131" t="s">
        <v>186</v>
      </c>
      <c r="R19" s="131">
        <v>110</v>
      </c>
      <c r="S19" s="131">
        <v>110</v>
      </c>
      <c r="T19" s="131">
        <v>110</v>
      </c>
      <c r="U19" s="131">
        <v>110</v>
      </c>
      <c r="V19" s="131">
        <v>100</v>
      </c>
      <c r="W19" s="131">
        <v>100</v>
      </c>
      <c r="X19" s="131">
        <v>100</v>
      </c>
      <c r="Y19" s="131">
        <v>100</v>
      </c>
      <c r="Z19" s="131">
        <v>100</v>
      </c>
      <c r="AA19" s="131">
        <v>100</v>
      </c>
      <c r="AB19" s="131">
        <v>100</v>
      </c>
      <c r="AC19" s="131"/>
      <c r="AD19" s="131"/>
      <c r="AE19" s="131"/>
      <c r="AF19" s="131"/>
      <c r="AG19" s="131"/>
      <c r="AH19" s="131"/>
      <c r="AI19" s="131"/>
      <c r="AJ19" s="131"/>
      <c r="AK19" s="131"/>
      <c r="AL19" s="131"/>
      <c r="AM19" s="131"/>
      <c r="AN19" s="131"/>
    </row>
    <row r="20" spans="1:40" ht="15">
      <c r="A20" s="190">
        <f t="shared" si="2"/>
        <v>11</v>
      </c>
      <c r="B20" s="155">
        <f>IF(A20="","",'Dados de Entrada'!T34)</f>
        <v>15</v>
      </c>
      <c r="C20" s="155">
        <f>IF(A20="","",'Dados de Entrada'!U34)</f>
        <v>10</v>
      </c>
      <c r="D20" s="286">
        <f t="shared" si="3"/>
        <v>130</v>
      </c>
      <c r="E20" s="286">
        <f t="shared" si="4"/>
        <v>4</v>
      </c>
      <c r="F20" s="155">
        <f t="shared" si="9"/>
        <v>95.72040116406403</v>
      </c>
      <c r="G20" s="155">
        <f t="shared" si="5"/>
        <v>31.415926535897928</v>
      </c>
      <c r="H20" s="155">
        <f t="shared" si="8"/>
        <v>238.6101953589019</v>
      </c>
      <c r="I20" s="155">
        <f t="shared" si="7"/>
        <v>334.33059652296595</v>
      </c>
      <c r="J20" s="191">
        <f t="shared" si="6"/>
        <v>167.16529826148297</v>
      </c>
      <c r="K20" s="311"/>
      <c r="L20" s="131">
        <f>'Dados de Entrada'!D13</f>
        <v>13</v>
      </c>
      <c r="M20" s="131">
        <f t="shared" si="0"/>
        <v>130</v>
      </c>
      <c r="N20" s="131">
        <f t="shared" si="1"/>
        <v>4</v>
      </c>
      <c r="O20" s="131"/>
      <c r="P20" s="131">
        <v>13</v>
      </c>
      <c r="Q20" s="131" t="s">
        <v>24</v>
      </c>
      <c r="R20" s="131">
        <v>210</v>
      </c>
      <c r="S20" s="131">
        <v>210</v>
      </c>
      <c r="T20" s="131">
        <v>210</v>
      </c>
      <c r="U20" s="131">
        <v>210</v>
      </c>
      <c r="V20" s="131">
        <v>130</v>
      </c>
      <c r="W20" s="131">
        <v>130</v>
      </c>
      <c r="X20" s="131">
        <v>130</v>
      </c>
      <c r="Y20" s="131">
        <v>160</v>
      </c>
      <c r="Z20" s="131">
        <v>160</v>
      </c>
      <c r="AA20" s="131">
        <v>140</v>
      </c>
      <c r="AB20" s="131">
        <v>130</v>
      </c>
      <c r="AC20" s="131"/>
      <c r="AD20" s="131"/>
      <c r="AE20" s="131"/>
      <c r="AF20" s="131"/>
      <c r="AG20" s="131"/>
      <c r="AH20" s="131"/>
      <c r="AI20" s="131"/>
      <c r="AJ20" s="131"/>
      <c r="AK20" s="131"/>
      <c r="AL20" s="131"/>
      <c r="AM20" s="131"/>
      <c r="AN20" s="131"/>
    </row>
    <row r="21" spans="1:40" ht="15">
      <c r="A21" s="190">
        <f t="shared" si="2"/>
        <v>12</v>
      </c>
      <c r="B21" s="155">
        <f>IF(A21="","",'Dados de Entrada'!T35)</f>
        <v>19</v>
      </c>
      <c r="C21" s="155">
        <f>IF(A21="","",'Dados de Entrada'!U35)</f>
        <v>10.833333333333334</v>
      </c>
      <c r="D21" s="286">
        <f t="shared" si="3"/>
        <v>130</v>
      </c>
      <c r="E21" s="286">
        <f t="shared" si="4"/>
        <v>4</v>
      </c>
      <c r="F21" s="155">
        <f t="shared" si="9"/>
        <v>121.2458414744811</v>
      </c>
      <c r="G21" s="155">
        <f t="shared" si="5"/>
        <v>34.033920413889426</v>
      </c>
      <c r="H21" s="155">
        <f t="shared" si="8"/>
        <v>272.64411577279134</v>
      </c>
      <c r="I21" s="155">
        <f t="shared" si="7"/>
        <v>393.88995724727243</v>
      </c>
      <c r="J21" s="191">
        <f t="shared" si="6"/>
        <v>196.94497862363622</v>
      </c>
      <c r="K21" s="311"/>
      <c r="L21" s="131">
        <f>'Dados de Entrada'!D14</f>
        <v>13</v>
      </c>
      <c r="M21" s="131">
        <f t="shared" si="0"/>
        <v>130</v>
      </c>
      <c r="N21" s="131">
        <f t="shared" si="1"/>
        <v>4</v>
      </c>
      <c r="O21" s="131"/>
      <c r="P21" s="131">
        <v>14</v>
      </c>
      <c r="Q21" s="131" t="s">
        <v>183</v>
      </c>
      <c r="R21" s="131">
        <v>160</v>
      </c>
      <c r="S21" s="131">
        <v>160</v>
      </c>
      <c r="T21" s="131">
        <v>160</v>
      </c>
      <c r="U21" s="131">
        <v>160</v>
      </c>
      <c r="V21" s="131">
        <v>115</v>
      </c>
      <c r="W21" s="131">
        <v>115</v>
      </c>
      <c r="X21" s="131">
        <v>115</v>
      </c>
      <c r="Y21" s="131">
        <v>130</v>
      </c>
      <c r="Z21" s="131">
        <v>130</v>
      </c>
      <c r="AA21" s="131">
        <v>120</v>
      </c>
      <c r="AB21" s="131">
        <v>115</v>
      </c>
      <c r="AC21" s="131"/>
      <c r="AD21" s="131"/>
      <c r="AE21" s="131"/>
      <c r="AF21" s="131"/>
      <c r="AG21" s="131"/>
      <c r="AH21" s="131"/>
      <c r="AI21" s="131"/>
      <c r="AJ21" s="131"/>
      <c r="AK21" s="131"/>
      <c r="AL21" s="131"/>
      <c r="AM21" s="131"/>
      <c r="AN21" s="131"/>
    </row>
    <row r="22" spans="1:40" ht="15">
      <c r="A22" s="190">
        <f t="shared" si="2"/>
        <v>13</v>
      </c>
      <c r="B22" s="155">
        <f>IF(A22="","",'Dados de Entrada'!T36)</f>
        <v>23</v>
      </c>
      <c r="C22" s="155">
        <f>IF(A22="","",'Dados de Entrada'!U36)</f>
        <v>12</v>
      </c>
      <c r="D22" s="286">
        <f t="shared" si="3"/>
        <v>130</v>
      </c>
      <c r="E22" s="286">
        <f t="shared" si="4"/>
        <v>4</v>
      </c>
      <c r="F22" s="155">
        <f t="shared" si="9"/>
        <v>146.77128178489818</v>
      </c>
      <c r="G22" s="155">
        <f t="shared" si="5"/>
        <v>37.69911184307752</v>
      </c>
      <c r="H22" s="155">
        <f t="shared" si="8"/>
        <v>310.34322761586884</v>
      </c>
      <c r="I22" s="155">
        <f t="shared" si="7"/>
        <v>457.114509400767</v>
      </c>
      <c r="J22" s="191">
        <f t="shared" si="6"/>
        <v>228.5572547003835</v>
      </c>
      <c r="K22" s="311"/>
      <c r="L22" s="131">
        <f>'Dados de Entrada'!D15</f>
        <v>13</v>
      </c>
      <c r="M22" s="131">
        <f t="shared" si="0"/>
        <v>130</v>
      </c>
      <c r="N22" s="131">
        <f t="shared" si="1"/>
        <v>4</v>
      </c>
      <c r="O22" s="131"/>
      <c r="P22" s="131">
        <v>15</v>
      </c>
      <c r="Q22" s="131" t="s">
        <v>26</v>
      </c>
      <c r="R22" s="131">
        <v>110</v>
      </c>
      <c r="S22" s="131">
        <v>110</v>
      </c>
      <c r="T22" s="131">
        <v>110</v>
      </c>
      <c r="U22" s="131">
        <v>110</v>
      </c>
      <c r="V22" s="131">
        <v>100</v>
      </c>
      <c r="W22" s="131">
        <v>100</v>
      </c>
      <c r="X22" s="131">
        <v>100</v>
      </c>
      <c r="Y22" s="131">
        <v>100</v>
      </c>
      <c r="Z22" s="131">
        <v>100</v>
      </c>
      <c r="AA22" s="131">
        <v>100</v>
      </c>
      <c r="AB22" s="131">
        <v>100</v>
      </c>
      <c r="AC22" s="131">
        <v>1</v>
      </c>
      <c r="AD22" s="131" t="s">
        <v>80</v>
      </c>
      <c r="AE22" s="131"/>
      <c r="AF22" s="131"/>
      <c r="AG22" s="131"/>
      <c r="AH22" s="131"/>
      <c r="AI22" s="131"/>
      <c r="AJ22" s="131"/>
      <c r="AK22" s="131"/>
      <c r="AL22" s="131"/>
      <c r="AM22" s="131"/>
      <c r="AN22" s="131"/>
    </row>
    <row r="23" spans="1:40" ht="15">
      <c r="A23" s="190">
        <f t="shared" si="2"/>
        <v>14</v>
      </c>
      <c r="B23" s="155">
        <f>IF(A23="","",'Dados de Entrada'!T37)</f>
        <v>29.5</v>
      </c>
      <c r="C23" s="155">
        <f>IF(A23="","",'Dados de Entrada'!U37)</f>
        <v>13.5</v>
      </c>
      <c r="D23" s="286">
        <f t="shared" si="3"/>
        <v>130</v>
      </c>
      <c r="E23" s="286">
        <f t="shared" si="4"/>
        <v>4</v>
      </c>
      <c r="F23" s="155">
        <f t="shared" si="9"/>
        <v>188.25012228932593</v>
      </c>
      <c r="G23" s="155">
        <f t="shared" si="5"/>
        <v>42.411500823462205</v>
      </c>
      <c r="H23" s="155">
        <f t="shared" si="8"/>
        <v>352.7547284393311</v>
      </c>
      <c r="I23" s="155">
        <f t="shared" si="7"/>
        <v>541.004850728657</v>
      </c>
      <c r="J23" s="191">
        <f t="shared" si="6"/>
        <v>270.5024253643285</v>
      </c>
      <c r="K23" s="311"/>
      <c r="L23" s="131">
        <f>'Dados de Entrada'!D16</f>
        <v>13</v>
      </c>
      <c r="M23" s="131">
        <f t="shared" si="0"/>
        <v>130</v>
      </c>
      <c r="N23" s="131">
        <f t="shared" si="1"/>
        <v>4</v>
      </c>
      <c r="O23" s="131"/>
      <c r="P23" s="131">
        <v>16</v>
      </c>
      <c r="Q23" s="131" t="s">
        <v>184</v>
      </c>
      <c r="R23" s="131">
        <v>160</v>
      </c>
      <c r="S23" s="131">
        <v>160</v>
      </c>
      <c r="T23" s="131">
        <v>160</v>
      </c>
      <c r="U23" s="131">
        <v>160</v>
      </c>
      <c r="V23" s="131">
        <v>115</v>
      </c>
      <c r="W23" s="131">
        <v>115</v>
      </c>
      <c r="X23" s="131">
        <v>115</v>
      </c>
      <c r="Y23" s="131">
        <v>130</v>
      </c>
      <c r="Z23" s="131">
        <v>130</v>
      </c>
      <c r="AA23" s="131">
        <v>120</v>
      </c>
      <c r="AB23" s="131">
        <v>115</v>
      </c>
      <c r="AC23" s="131">
        <v>2</v>
      </c>
      <c r="AD23" s="131" t="s">
        <v>13</v>
      </c>
      <c r="AE23" s="131"/>
      <c r="AF23" s="131"/>
      <c r="AG23" s="131"/>
      <c r="AH23" s="131"/>
      <c r="AI23" s="131"/>
      <c r="AJ23" s="131"/>
      <c r="AK23" s="131"/>
      <c r="AL23" s="131"/>
      <c r="AM23" s="131"/>
      <c r="AN23" s="131"/>
    </row>
    <row r="24" spans="1:40" ht="15">
      <c r="A24" s="190">
        <f t="shared" si="2"/>
        <v>15</v>
      </c>
      <c r="B24" s="155">
        <f>IF(A24="","",'Dados de Entrada'!T38)</f>
        <v>36</v>
      </c>
      <c r="C24" s="155">
        <f>IF(A24="","",'Dados de Entrada'!U38)</f>
        <v>15.2</v>
      </c>
      <c r="D24" s="286">
        <f t="shared" si="3"/>
        <v>130</v>
      </c>
      <c r="E24" s="286">
        <f t="shared" si="4"/>
        <v>4</v>
      </c>
      <c r="F24" s="155">
        <f t="shared" si="9"/>
        <v>229.72896279375362</v>
      </c>
      <c r="G24" s="155">
        <f t="shared" si="5"/>
        <v>47.752208334564855</v>
      </c>
      <c r="H24" s="155">
        <f t="shared" si="8"/>
        <v>400.5069367738959</v>
      </c>
      <c r="I24" s="155">
        <f t="shared" si="7"/>
        <v>630.2358995676495</v>
      </c>
      <c r="J24" s="191">
        <f t="shared" si="6"/>
        <v>315.11794978382477</v>
      </c>
      <c r="K24" s="311"/>
      <c r="L24" s="131">
        <f>'Dados de Entrada'!D17</f>
        <v>13</v>
      </c>
      <c r="M24" s="131">
        <f t="shared" si="0"/>
        <v>130</v>
      </c>
      <c r="N24" s="131">
        <f t="shared" si="1"/>
        <v>4</v>
      </c>
      <c r="O24" s="131"/>
      <c r="P24" s="131"/>
      <c r="Q24" s="131"/>
      <c r="R24" s="131"/>
      <c r="S24" s="131"/>
      <c r="T24" s="131"/>
      <c r="U24" s="131"/>
      <c r="V24" s="131"/>
      <c r="W24" s="131"/>
      <c r="X24" s="131"/>
      <c r="Y24" s="131"/>
      <c r="Z24" s="131"/>
      <c r="AA24" s="131"/>
      <c r="AB24" s="131"/>
      <c r="AC24" s="131">
        <v>3</v>
      </c>
      <c r="AD24" s="131" t="s">
        <v>14</v>
      </c>
      <c r="AE24" s="131"/>
      <c r="AF24" s="131"/>
      <c r="AG24" s="131"/>
      <c r="AH24" s="131"/>
      <c r="AI24" s="131"/>
      <c r="AJ24" s="131"/>
      <c r="AK24" s="131"/>
      <c r="AL24" s="131"/>
      <c r="AM24" s="131"/>
      <c r="AN24" s="131"/>
    </row>
    <row r="25" spans="1:40" ht="15">
      <c r="A25" s="190">
        <f t="shared" si="2"/>
      </c>
      <c r="B25" s="155">
        <f>IF(A25="","",'Dados de Entrada'!T39)</f>
      </c>
      <c r="C25" s="155">
        <f>IF(A25="","",'Dados de Entrada'!U39)</f>
      </c>
      <c r="D25" s="286">
        <f t="shared" si="3"/>
      </c>
      <c r="E25" s="286">
        <f t="shared" si="4"/>
      </c>
      <c r="F25" s="155">
        <f t="shared" si="9"/>
      </c>
      <c r="G25" s="155">
        <f t="shared" si="5"/>
      </c>
      <c r="H25" s="155">
        <f t="shared" si="8"/>
      </c>
      <c r="I25" s="155">
        <f t="shared" si="7"/>
      </c>
      <c r="J25" s="191">
        <f t="shared" si="6"/>
      </c>
      <c r="K25" s="311"/>
      <c r="L25" s="131">
        <f>'Dados de Entrada'!D18</f>
        <v>13</v>
      </c>
      <c r="M25" s="131">
        <f t="shared" si="0"/>
        <v>130</v>
      </c>
      <c r="N25" s="131">
        <f t="shared" si="1"/>
        <v>4</v>
      </c>
      <c r="O25" s="131"/>
      <c r="P25" s="131" t="s">
        <v>208</v>
      </c>
      <c r="Q25" s="131"/>
      <c r="R25" s="131"/>
      <c r="S25" s="131"/>
      <c r="T25" s="131"/>
      <c r="U25" s="131"/>
      <c r="V25" s="131"/>
      <c r="W25" s="131"/>
      <c r="X25" s="131"/>
      <c r="Y25" s="131"/>
      <c r="Z25" s="131"/>
      <c r="AA25" s="131"/>
      <c r="AB25" s="131"/>
      <c r="AC25" s="131">
        <v>4</v>
      </c>
      <c r="AD25" s="131" t="s">
        <v>15</v>
      </c>
      <c r="AE25" s="131"/>
      <c r="AF25" s="131"/>
      <c r="AG25" s="131"/>
      <c r="AH25" s="131"/>
      <c r="AI25" s="131"/>
      <c r="AJ25" s="131"/>
      <c r="AK25" s="131"/>
      <c r="AL25" s="131"/>
      <c r="AM25" s="131"/>
      <c r="AN25" s="131"/>
    </row>
    <row r="26" spans="1:40" ht="15">
      <c r="A26" s="190">
        <f t="shared" si="2"/>
      </c>
      <c r="B26" s="155">
        <f>IF(A26="","",'Dados de Entrada'!T40)</f>
      </c>
      <c r="C26" s="155">
        <f>IF(A26="","",'Dados de Entrada'!U40)</f>
      </c>
      <c r="D26" s="286">
        <f t="shared" si="3"/>
      </c>
      <c r="E26" s="286">
        <f t="shared" si="4"/>
      </c>
      <c r="F26" s="155">
        <f t="shared" si="9"/>
      </c>
      <c r="G26" s="155">
        <f t="shared" si="5"/>
      </c>
      <c r="H26" s="155">
        <f t="shared" si="8"/>
      </c>
      <c r="I26" s="155">
        <f t="shared" si="7"/>
      </c>
      <c r="J26" s="191">
        <f t="shared" si="6"/>
      </c>
      <c r="K26" s="311"/>
      <c r="L26" s="131">
        <f>'Dados de Entrada'!D19</f>
        <v>13</v>
      </c>
      <c r="M26" s="131">
        <f t="shared" si="0"/>
        <v>130</v>
      </c>
      <c r="N26" s="131">
        <f t="shared" si="1"/>
        <v>4</v>
      </c>
      <c r="O26" s="131"/>
      <c r="P26" s="131"/>
      <c r="Q26" s="131" t="s">
        <v>82</v>
      </c>
      <c r="R26" s="131" t="s">
        <v>168</v>
      </c>
      <c r="S26" s="131"/>
      <c r="T26" s="131"/>
      <c r="U26" s="131"/>
      <c r="V26" s="131"/>
      <c r="W26" s="131"/>
      <c r="X26" s="131"/>
      <c r="Y26" s="131"/>
      <c r="Z26" s="131"/>
      <c r="AA26" s="131"/>
      <c r="AB26" s="131"/>
      <c r="AC26" s="131">
        <v>5</v>
      </c>
      <c r="AD26" s="131" t="s">
        <v>16</v>
      </c>
      <c r="AE26" s="131"/>
      <c r="AF26" s="131"/>
      <c r="AG26" s="131"/>
      <c r="AH26" s="131"/>
      <c r="AI26" s="131"/>
      <c r="AJ26" s="131"/>
      <c r="AK26" s="131"/>
      <c r="AL26" s="131"/>
      <c r="AM26" s="131"/>
      <c r="AN26" s="131"/>
    </row>
    <row r="27" spans="1:40" ht="15">
      <c r="A27" s="190">
        <f t="shared" si="2"/>
      </c>
      <c r="B27" s="155">
        <f>IF(A27="","",'Dados de Entrada'!T41)</f>
      </c>
      <c r="C27" s="155">
        <f>IF(A27="","",'Dados de Entrada'!U41)</f>
      </c>
      <c r="D27" s="286">
        <f t="shared" si="3"/>
      </c>
      <c r="E27" s="286">
        <f t="shared" si="4"/>
      </c>
      <c r="F27" s="155">
        <f t="shared" si="9"/>
      </c>
      <c r="G27" s="155">
        <f t="shared" si="5"/>
      </c>
      <c r="H27" s="155">
        <f t="shared" si="8"/>
      </c>
      <c r="I27" s="155">
        <f t="shared" si="7"/>
      </c>
      <c r="J27" s="191">
        <f t="shared" si="6"/>
      </c>
      <c r="K27" s="311"/>
      <c r="L27" s="131">
        <f>'Dados de Entrada'!D20</f>
        <v>13</v>
      </c>
      <c r="M27" s="131">
        <f t="shared" si="0"/>
        <v>130</v>
      </c>
      <c r="N27" s="131">
        <f t="shared" si="1"/>
        <v>4</v>
      </c>
      <c r="O27" s="131"/>
      <c r="P27" s="131">
        <v>1</v>
      </c>
      <c r="Q27" s="131" t="s">
        <v>58</v>
      </c>
      <c r="R27" s="131">
        <v>4</v>
      </c>
      <c r="S27" s="131"/>
      <c r="T27" s="131"/>
      <c r="U27" s="131"/>
      <c r="V27" s="131"/>
      <c r="W27" s="131"/>
      <c r="X27" s="131"/>
      <c r="Y27" s="131"/>
      <c r="Z27" s="131"/>
      <c r="AA27" s="131"/>
      <c r="AB27" s="131"/>
      <c r="AC27" s="131">
        <v>6</v>
      </c>
      <c r="AD27" s="131" t="s">
        <v>17</v>
      </c>
      <c r="AE27" s="131"/>
      <c r="AF27" s="131"/>
      <c r="AG27" s="131"/>
      <c r="AH27" s="131"/>
      <c r="AI27" s="131"/>
      <c r="AJ27" s="131"/>
      <c r="AK27" s="131"/>
      <c r="AL27" s="131"/>
      <c r="AM27" s="131"/>
      <c r="AN27" s="131"/>
    </row>
    <row r="28" spans="1:40" ht="15">
      <c r="A28" s="190">
        <f t="shared" si="2"/>
      </c>
      <c r="B28" s="155">
        <f>IF(A28="","",'Dados de Entrada'!T42)</f>
      </c>
      <c r="C28" s="155">
        <f>IF(A28="","",'Dados de Entrada'!U42)</f>
      </c>
      <c r="D28" s="286">
        <f t="shared" si="3"/>
      </c>
      <c r="E28" s="286">
        <f t="shared" si="4"/>
      </c>
      <c r="F28" s="155">
        <f t="shared" si="9"/>
      </c>
      <c r="G28" s="155">
        <f t="shared" si="5"/>
      </c>
      <c r="H28" s="155">
        <f t="shared" si="8"/>
      </c>
      <c r="I28" s="155">
        <f t="shared" si="7"/>
      </c>
      <c r="J28" s="191">
        <f t="shared" si="6"/>
      </c>
      <c r="K28" s="311"/>
      <c r="L28" s="131">
        <f>'Dados de Entrada'!D21</f>
        <v>13</v>
      </c>
      <c r="M28" s="131">
        <f t="shared" si="0"/>
        <v>130</v>
      </c>
      <c r="N28" s="131">
        <f t="shared" si="1"/>
        <v>4</v>
      </c>
      <c r="O28" s="131"/>
      <c r="P28" s="131">
        <v>2</v>
      </c>
      <c r="Q28" s="131" t="s">
        <v>59</v>
      </c>
      <c r="R28" s="131">
        <v>4</v>
      </c>
      <c r="S28" s="131"/>
      <c r="T28" s="131"/>
      <c r="U28" s="131"/>
      <c r="V28" s="131"/>
      <c r="W28" s="131"/>
      <c r="X28" s="131"/>
      <c r="Y28" s="131"/>
      <c r="Z28" s="131"/>
      <c r="AA28" s="131"/>
      <c r="AB28" s="131"/>
      <c r="AC28" s="131">
        <v>7</v>
      </c>
      <c r="AD28" s="131" t="s">
        <v>18</v>
      </c>
      <c r="AE28" s="131"/>
      <c r="AF28" s="131"/>
      <c r="AG28" s="131"/>
      <c r="AH28" s="131"/>
      <c r="AI28" s="131"/>
      <c r="AJ28" s="131"/>
      <c r="AK28" s="131"/>
      <c r="AL28" s="131"/>
      <c r="AM28" s="131"/>
      <c r="AN28" s="131"/>
    </row>
    <row r="29" spans="1:40" ht="15">
      <c r="A29" s="190">
        <f t="shared" si="2"/>
      </c>
      <c r="B29" s="155">
        <f>IF(A29="","",'Dados de Entrada'!T43)</f>
      </c>
      <c r="C29" s="155">
        <f>IF(A29="","",'Dados de Entrada'!U43)</f>
      </c>
      <c r="D29" s="286">
        <f t="shared" si="3"/>
      </c>
      <c r="E29" s="286">
        <f t="shared" si="4"/>
      </c>
      <c r="F29" s="155">
        <f t="shared" si="9"/>
      </c>
      <c r="G29" s="155">
        <f t="shared" si="5"/>
      </c>
      <c r="H29" s="155">
        <f t="shared" si="8"/>
      </c>
      <c r="I29" s="155">
        <f t="shared" si="7"/>
      </c>
      <c r="J29" s="191">
        <f t="shared" si="6"/>
      </c>
      <c r="K29" s="311"/>
      <c r="L29" s="131">
        <f>'Dados de Entrada'!D22</f>
        <v>13</v>
      </c>
      <c r="M29" s="131">
        <f t="shared" si="0"/>
        <v>130</v>
      </c>
      <c r="N29" s="131">
        <f t="shared" si="1"/>
        <v>4</v>
      </c>
      <c r="O29" s="131"/>
      <c r="P29" s="131">
        <v>3</v>
      </c>
      <c r="Q29" s="131" t="s">
        <v>60</v>
      </c>
      <c r="R29" s="131">
        <v>4</v>
      </c>
      <c r="S29" s="131"/>
      <c r="T29" s="131"/>
      <c r="U29" s="131"/>
      <c r="V29" s="131"/>
      <c r="W29" s="131"/>
      <c r="X29" s="131"/>
      <c r="Y29" s="131"/>
      <c r="Z29" s="131"/>
      <c r="AA29" s="131"/>
      <c r="AB29" s="131"/>
      <c r="AC29" s="131">
        <v>8</v>
      </c>
      <c r="AD29" s="131" t="s">
        <v>19</v>
      </c>
      <c r="AE29" s="131"/>
      <c r="AF29" s="131"/>
      <c r="AG29" s="131"/>
      <c r="AH29" s="131"/>
      <c r="AI29" s="131"/>
      <c r="AJ29" s="131"/>
      <c r="AK29" s="131"/>
      <c r="AL29" s="131"/>
      <c r="AM29" s="131"/>
      <c r="AN29" s="131"/>
    </row>
    <row r="30" spans="1:40" ht="15">
      <c r="A30" s="190">
        <f t="shared" si="2"/>
      </c>
      <c r="B30" s="155">
        <f>IF(A30="","",'Dados de Entrada'!T44)</f>
      </c>
      <c r="C30" s="155">
        <f>IF(A30="","",'Dados de Entrada'!U44)</f>
      </c>
      <c r="D30" s="286">
        <f t="shared" si="3"/>
      </c>
      <c r="E30" s="286">
        <f t="shared" si="4"/>
      </c>
      <c r="F30" s="155">
        <f t="shared" si="9"/>
      </c>
      <c r="G30" s="155">
        <f t="shared" si="5"/>
      </c>
      <c r="H30" s="155">
        <f t="shared" si="8"/>
      </c>
      <c r="I30" s="155">
        <f t="shared" si="7"/>
      </c>
      <c r="J30" s="191">
        <f t="shared" si="6"/>
      </c>
      <c r="K30" s="311"/>
      <c r="L30" s="131">
        <f>'Dados de Entrada'!D23</f>
        <v>13</v>
      </c>
      <c r="M30" s="131">
        <f t="shared" si="0"/>
        <v>130</v>
      </c>
      <c r="N30" s="131">
        <f t="shared" si="1"/>
        <v>4</v>
      </c>
      <c r="O30" s="131"/>
      <c r="P30" s="131">
        <v>4</v>
      </c>
      <c r="Q30" s="131" t="s">
        <v>85</v>
      </c>
      <c r="R30" s="131">
        <v>4</v>
      </c>
      <c r="S30" s="131"/>
      <c r="T30" s="131"/>
      <c r="U30" s="131"/>
      <c r="V30" s="131"/>
      <c r="W30" s="131"/>
      <c r="X30" s="131"/>
      <c r="Y30" s="131"/>
      <c r="Z30" s="131"/>
      <c r="AA30" s="131"/>
      <c r="AB30" s="131"/>
      <c r="AC30" s="131">
        <v>9</v>
      </c>
      <c r="AD30" s="131" t="s">
        <v>20</v>
      </c>
      <c r="AE30" s="131"/>
      <c r="AF30" s="131"/>
      <c r="AG30" s="131"/>
      <c r="AH30" s="131"/>
      <c r="AI30" s="131"/>
      <c r="AJ30" s="131"/>
      <c r="AK30" s="131"/>
      <c r="AL30" s="131"/>
      <c r="AM30" s="131"/>
      <c r="AN30" s="131"/>
    </row>
    <row r="31" spans="1:40" ht="15">
      <c r="A31" s="190">
        <f t="shared" si="2"/>
      </c>
      <c r="B31" s="155">
        <f>IF(A31="","",'Dados de Entrada'!T45)</f>
      </c>
      <c r="C31" s="155">
        <f>IF(A31="","",'Dados de Entrada'!U45)</f>
      </c>
      <c r="D31" s="286">
        <f t="shared" si="3"/>
      </c>
      <c r="E31" s="286">
        <f t="shared" si="4"/>
      </c>
      <c r="F31" s="155">
        <f t="shared" si="9"/>
      </c>
      <c r="G31" s="155">
        <f t="shared" si="5"/>
      </c>
      <c r="H31" s="155">
        <f t="shared" si="8"/>
      </c>
      <c r="I31" s="155">
        <f t="shared" si="7"/>
      </c>
      <c r="J31" s="191">
        <f t="shared" si="6"/>
      </c>
      <c r="K31" s="311"/>
      <c r="L31" s="131">
        <f>'Dados de Entrada'!D24</f>
        <v>13</v>
      </c>
      <c r="M31" s="131">
        <f t="shared" si="0"/>
        <v>130</v>
      </c>
      <c r="N31" s="131">
        <f t="shared" si="1"/>
        <v>4</v>
      </c>
      <c r="O31" s="131"/>
      <c r="P31" s="131">
        <v>5</v>
      </c>
      <c r="Q31" s="131" t="s">
        <v>61</v>
      </c>
      <c r="R31" s="131">
        <v>4</v>
      </c>
      <c r="S31" s="131"/>
      <c r="T31" s="131"/>
      <c r="U31" s="131"/>
      <c r="V31" s="131"/>
      <c r="W31" s="131"/>
      <c r="X31" s="131"/>
      <c r="Y31" s="131"/>
      <c r="Z31" s="131"/>
      <c r="AA31" s="131"/>
      <c r="AB31" s="131"/>
      <c r="AC31" s="131">
        <v>10</v>
      </c>
      <c r="AD31" s="131" t="s">
        <v>21</v>
      </c>
      <c r="AE31" s="131"/>
      <c r="AF31" s="131"/>
      <c r="AG31" s="131"/>
      <c r="AH31" s="131"/>
      <c r="AI31" s="131"/>
      <c r="AJ31" s="131"/>
      <c r="AK31" s="131"/>
      <c r="AL31" s="131"/>
      <c r="AM31" s="131"/>
      <c r="AN31" s="131"/>
    </row>
    <row r="32" spans="1:40" ht="15">
      <c r="A32" s="190">
        <f t="shared" si="2"/>
      </c>
      <c r="B32" s="155">
        <f>IF(A32="","",'Dados de Entrada'!T46)</f>
      </c>
      <c r="C32" s="155">
        <f>IF(A32="","",'Dados de Entrada'!U46)</f>
      </c>
      <c r="D32" s="286">
        <f t="shared" si="3"/>
      </c>
      <c r="E32" s="286">
        <f t="shared" si="4"/>
      </c>
      <c r="F32" s="155">
        <f t="shared" si="9"/>
      </c>
      <c r="G32" s="155">
        <f t="shared" si="5"/>
      </c>
      <c r="H32" s="155">
        <f t="shared" si="8"/>
      </c>
      <c r="I32" s="155">
        <f t="shared" si="7"/>
      </c>
      <c r="J32" s="191">
        <f t="shared" si="6"/>
      </c>
      <c r="K32" s="311"/>
      <c r="L32" s="131">
        <f>'Dados de Entrada'!D25</f>
        <v>13</v>
      </c>
      <c r="M32" s="131">
        <f t="shared" si="0"/>
        <v>130</v>
      </c>
      <c r="N32" s="131">
        <f t="shared" si="1"/>
        <v>4</v>
      </c>
      <c r="O32" s="131"/>
      <c r="P32" s="131">
        <v>6</v>
      </c>
      <c r="Q32" s="131" t="s">
        <v>62</v>
      </c>
      <c r="R32" s="131">
        <v>4</v>
      </c>
      <c r="S32" s="131"/>
      <c r="T32" s="131"/>
      <c r="U32" s="131"/>
      <c r="V32" s="131"/>
      <c r="W32" s="131"/>
      <c r="X32" s="131"/>
      <c r="Y32" s="131"/>
      <c r="Z32" s="131"/>
      <c r="AA32" s="131"/>
      <c r="AB32" s="131"/>
      <c r="AC32" s="131">
        <v>11</v>
      </c>
      <c r="AD32" s="131" t="s">
        <v>22</v>
      </c>
      <c r="AE32" s="131"/>
      <c r="AF32" s="131"/>
      <c r="AG32" s="131"/>
      <c r="AH32" s="131"/>
      <c r="AI32" s="131"/>
      <c r="AJ32" s="131"/>
      <c r="AK32" s="131"/>
      <c r="AL32" s="131"/>
      <c r="AM32" s="131"/>
      <c r="AN32" s="131"/>
    </row>
    <row r="33" spans="1:40" ht="15">
      <c r="A33" s="190">
        <f t="shared" si="2"/>
      </c>
      <c r="B33" s="155">
        <f>IF(A33="","",'Dados de Entrada'!T47)</f>
      </c>
      <c r="C33" s="155">
        <f>IF(A33="","",'Dados de Entrada'!U47)</f>
      </c>
      <c r="D33" s="286">
        <f t="shared" si="3"/>
      </c>
      <c r="E33" s="286">
        <f t="shared" si="4"/>
      </c>
      <c r="F33" s="155">
        <f t="shared" si="9"/>
      </c>
      <c r="G33" s="155">
        <f t="shared" si="5"/>
      </c>
      <c r="H33" s="155">
        <f t="shared" si="8"/>
      </c>
      <c r="I33" s="155">
        <f t="shared" si="7"/>
      </c>
      <c r="J33" s="191">
        <f t="shared" si="6"/>
      </c>
      <c r="K33" s="311"/>
      <c r="L33" s="131">
        <f>'Dados de Entrada'!D26</f>
        <v>0</v>
      </c>
      <c r="M33" s="131" t="e">
        <f t="shared" si="0"/>
        <v>#N/A</v>
      </c>
      <c r="N33" s="131">
        <f t="shared" si="1"/>
        <v>4</v>
      </c>
      <c r="O33" s="131"/>
      <c r="P33" s="131">
        <v>7</v>
      </c>
      <c r="Q33" s="131" t="s">
        <v>63</v>
      </c>
      <c r="R33" s="131">
        <v>4</v>
      </c>
      <c r="S33" s="131"/>
      <c r="T33" s="131"/>
      <c r="U33" s="131"/>
      <c r="V33" s="131"/>
      <c r="W33" s="131"/>
      <c r="X33" s="131"/>
      <c r="Y33" s="131"/>
      <c r="Z33" s="131"/>
      <c r="AA33" s="131"/>
      <c r="AB33" s="131"/>
      <c r="AC33" s="131">
        <v>12</v>
      </c>
      <c r="AD33" s="131" t="s">
        <v>23</v>
      </c>
      <c r="AE33" s="131"/>
      <c r="AF33" s="131"/>
      <c r="AG33" s="131"/>
      <c r="AH33" s="131"/>
      <c r="AI33" s="131"/>
      <c r="AJ33" s="131"/>
      <c r="AK33" s="131"/>
      <c r="AL33" s="131"/>
      <c r="AM33" s="131"/>
      <c r="AN33" s="131"/>
    </row>
    <row r="34" spans="1:40" ht="15">
      <c r="A34" s="190">
        <f t="shared" si="2"/>
      </c>
      <c r="B34" s="155">
        <f>IF(A34="","",'Dados de Entrada'!T48)</f>
      </c>
      <c r="C34" s="155">
        <f>IF(A34="","",'Dados de Entrada'!U48)</f>
      </c>
      <c r="D34" s="286">
        <f t="shared" si="3"/>
      </c>
      <c r="E34" s="286">
        <f t="shared" si="4"/>
      </c>
      <c r="F34" s="155">
        <f t="shared" si="9"/>
      </c>
      <c r="G34" s="155">
        <f t="shared" si="5"/>
      </c>
      <c r="H34" s="155">
        <f t="shared" si="8"/>
      </c>
      <c r="I34" s="155">
        <f t="shared" si="7"/>
      </c>
      <c r="J34" s="191">
        <f t="shared" si="6"/>
      </c>
      <c r="K34" s="311"/>
      <c r="L34" s="131">
        <f>'Dados de Entrada'!D27</f>
        <v>0</v>
      </c>
      <c r="M34" s="131" t="e">
        <f t="shared" si="0"/>
        <v>#N/A</v>
      </c>
      <c r="N34" s="131">
        <f t="shared" si="1"/>
        <v>4</v>
      </c>
      <c r="O34" s="131"/>
      <c r="P34" s="131">
        <v>8</v>
      </c>
      <c r="Q34" s="131" t="s">
        <v>65</v>
      </c>
      <c r="R34" s="131">
        <v>5</v>
      </c>
      <c r="S34" s="131"/>
      <c r="T34" s="131"/>
      <c r="U34" s="131"/>
      <c r="V34" s="131"/>
      <c r="W34" s="131"/>
      <c r="X34" s="131"/>
      <c r="Y34" s="131"/>
      <c r="Z34" s="131"/>
      <c r="AA34" s="131"/>
      <c r="AB34" s="131"/>
      <c r="AC34" s="131">
        <v>13</v>
      </c>
      <c r="AD34" s="131" t="s">
        <v>24</v>
      </c>
      <c r="AE34" s="131"/>
      <c r="AF34" s="131"/>
      <c r="AG34" s="131"/>
      <c r="AH34" s="131"/>
      <c r="AI34" s="131"/>
      <c r="AJ34" s="131"/>
      <c r="AK34" s="131"/>
      <c r="AL34" s="131"/>
      <c r="AM34" s="131"/>
      <c r="AN34" s="131"/>
    </row>
    <row r="35" spans="1:40" ht="15">
      <c r="A35" s="190">
        <f t="shared" si="2"/>
      </c>
      <c r="B35" s="155">
        <f>IF(A35="","",'Dados de Entrada'!T49)</f>
      </c>
      <c r="C35" s="155">
        <f>IF(A35="","",'Dados de Entrada'!U49)</f>
      </c>
      <c r="D35" s="286">
        <f t="shared" si="3"/>
      </c>
      <c r="E35" s="286">
        <f t="shared" si="4"/>
      </c>
      <c r="F35" s="155">
        <f t="shared" si="9"/>
      </c>
      <c r="G35" s="155">
        <f t="shared" si="5"/>
      </c>
      <c r="H35" s="155">
        <f t="shared" si="8"/>
      </c>
      <c r="I35" s="155">
        <f t="shared" si="7"/>
      </c>
      <c r="J35" s="191">
        <f t="shared" si="6"/>
      </c>
      <c r="K35" s="311"/>
      <c r="L35" s="131">
        <f>'Dados de Entrada'!D28</f>
        <v>0</v>
      </c>
      <c r="M35" s="131" t="e">
        <f t="shared" si="0"/>
        <v>#N/A</v>
      </c>
      <c r="N35" s="131">
        <f t="shared" si="1"/>
        <v>4</v>
      </c>
      <c r="O35" s="131"/>
      <c r="P35" s="131">
        <v>9</v>
      </c>
      <c r="Q35" s="131" t="s">
        <v>66</v>
      </c>
      <c r="R35" s="131">
        <v>5</v>
      </c>
      <c r="S35" s="131"/>
      <c r="T35" s="131"/>
      <c r="U35" s="131"/>
      <c r="V35" s="131"/>
      <c r="W35" s="131"/>
      <c r="X35" s="131"/>
      <c r="Y35" s="131"/>
      <c r="Z35" s="131"/>
      <c r="AA35" s="131"/>
      <c r="AB35" s="131"/>
      <c r="AC35" s="131">
        <v>14</v>
      </c>
      <c r="AD35" s="131" t="s">
        <v>25</v>
      </c>
      <c r="AE35" s="131"/>
      <c r="AF35" s="131"/>
      <c r="AG35" s="131"/>
      <c r="AH35" s="131"/>
      <c r="AI35" s="131"/>
      <c r="AJ35" s="131"/>
      <c r="AK35" s="131"/>
      <c r="AL35" s="131"/>
      <c r="AM35" s="131"/>
      <c r="AN35" s="131"/>
    </row>
    <row r="36" spans="1:40" ht="15">
      <c r="A36" s="190">
        <f t="shared" si="2"/>
      </c>
      <c r="B36" s="155">
        <f>IF(A36="","",'Dados de Entrada'!T50)</f>
      </c>
      <c r="C36" s="155">
        <f>IF(A36="","",'Dados de Entrada'!U50)</f>
      </c>
      <c r="D36" s="286">
        <f t="shared" si="3"/>
      </c>
      <c r="E36" s="286">
        <f t="shared" si="4"/>
      </c>
      <c r="F36" s="155">
        <f t="shared" si="9"/>
      </c>
      <c r="G36" s="155">
        <f t="shared" si="5"/>
      </c>
      <c r="H36" s="155">
        <f t="shared" si="8"/>
      </c>
      <c r="I36" s="155">
        <f t="shared" si="7"/>
      </c>
      <c r="J36" s="191">
        <f t="shared" si="6"/>
      </c>
      <c r="K36" s="311"/>
      <c r="L36" s="131">
        <f>'Dados de Entrada'!D29</f>
        <v>0</v>
      </c>
      <c r="M36" s="131" t="e">
        <f t="shared" si="0"/>
        <v>#N/A</v>
      </c>
      <c r="N36" s="131">
        <f t="shared" si="1"/>
        <v>4</v>
      </c>
      <c r="O36" s="131"/>
      <c r="P36" s="131">
        <v>10</v>
      </c>
      <c r="Q36" s="131" t="s">
        <v>68</v>
      </c>
      <c r="R36" s="131">
        <v>6</v>
      </c>
      <c r="S36" s="131"/>
      <c r="T36" s="131"/>
      <c r="U36" s="131"/>
      <c r="V36" s="131"/>
      <c r="W36" s="131"/>
      <c r="X36" s="131"/>
      <c r="Y36" s="131"/>
      <c r="Z36" s="131"/>
      <c r="AA36" s="131"/>
      <c r="AB36" s="131"/>
      <c r="AC36" s="131">
        <v>15</v>
      </c>
      <c r="AD36" s="131" t="s">
        <v>26</v>
      </c>
      <c r="AE36" s="131"/>
      <c r="AF36" s="131"/>
      <c r="AG36" s="131"/>
      <c r="AH36" s="131"/>
      <c r="AI36" s="131"/>
      <c r="AJ36" s="131"/>
      <c r="AK36" s="131"/>
      <c r="AL36" s="131"/>
      <c r="AM36" s="131"/>
      <c r="AN36" s="131"/>
    </row>
    <row r="37" spans="1:40" ht="15">
      <c r="A37" s="190">
        <f t="shared" si="2"/>
      </c>
      <c r="B37" s="155">
        <f>IF(A37="","",'Dados de Entrada'!T51)</f>
      </c>
      <c r="C37" s="155">
        <f>IF(A37="","",'Dados de Entrada'!U51)</f>
      </c>
      <c r="D37" s="286">
        <f t="shared" si="3"/>
      </c>
      <c r="E37" s="286">
        <f t="shared" si="4"/>
      </c>
      <c r="F37" s="155">
        <f t="shared" si="9"/>
      </c>
      <c r="G37" s="155">
        <f t="shared" si="5"/>
      </c>
      <c r="H37" s="155">
        <f t="shared" si="8"/>
      </c>
      <c r="I37" s="155">
        <f t="shared" si="7"/>
      </c>
      <c r="J37" s="191">
        <f t="shared" si="6"/>
      </c>
      <c r="K37" s="311"/>
      <c r="L37" s="131">
        <f>'Dados de Entrada'!D30</f>
        <v>0</v>
      </c>
      <c r="M37" s="131" t="e">
        <f t="shared" si="0"/>
        <v>#N/A</v>
      </c>
      <c r="N37" s="131">
        <f t="shared" si="1"/>
        <v>4</v>
      </c>
      <c r="O37" s="131"/>
      <c r="P37" s="131">
        <v>11</v>
      </c>
      <c r="Q37" s="131" t="s">
        <v>70</v>
      </c>
      <c r="R37" s="131">
        <v>4</v>
      </c>
      <c r="S37" s="131"/>
      <c r="T37" s="131"/>
      <c r="U37" s="131"/>
      <c r="V37" s="131"/>
      <c r="W37" s="131"/>
      <c r="X37" s="131"/>
      <c r="Y37" s="131"/>
      <c r="Z37" s="131"/>
      <c r="AA37" s="131"/>
      <c r="AB37" s="131"/>
      <c r="AC37" s="131">
        <v>16</v>
      </c>
      <c r="AD37" s="131" t="s">
        <v>27</v>
      </c>
      <c r="AE37" s="131"/>
      <c r="AF37" s="131"/>
      <c r="AG37" s="131"/>
      <c r="AH37" s="131"/>
      <c r="AI37" s="131"/>
      <c r="AJ37" s="131"/>
      <c r="AK37" s="131"/>
      <c r="AL37" s="131"/>
      <c r="AM37" s="131"/>
      <c r="AN37" s="131"/>
    </row>
    <row r="38" spans="1:40" ht="15">
      <c r="A38" s="190">
        <f t="shared" si="2"/>
      </c>
      <c r="B38" s="155">
        <f>IF(A38="","",'Dados de Entrada'!T52)</f>
      </c>
      <c r="C38" s="155">
        <f>IF(A38="","",'Dados de Entrada'!U52)</f>
      </c>
      <c r="D38" s="286">
        <f t="shared" si="3"/>
      </c>
      <c r="E38" s="286">
        <f t="shared" si="4"/>
      </c>
      <c r="F38" s="155">
        <f t="shared" si="9"/>
      </c>
      <c r="G38" s="155">
        <f t="shared" si="5"/>
      </c>
      <c r="H38" s="155">
        <f t="shared" si="8"/>
      </c>
      <c r="I38" s="155">
        <f t="shared" si="7"/>
      </c>
      <c r="J38" s="191">
        <f t="shared" si="6"/>
      </c>
      <c r="K38" s="311"/>
      <c r="L38" s="131">
        <f>'Dados de Entrada'!D31</f>
        <v>0</v>
      </c>
      <c r="M38" s="131" t="e">
        <f t="shared" si="0"/>
        <v>#N/A</v>
      </c>
      <c r="N38" s="131">
        <f t="shared" si="1"/>
        <v>4</v>
      </c>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5">
      <c r="A39" s="190">
        <f t="shared" si="2"/>
      </c>
      <c r="B39" s="155">
        <f>IF(A39="","",'Dados de Entrada'!T53)</f>
      </c>
      <c r="C39" s="155">
        <f>IF(A39="","",'Dados de Entrada'!U53)</f>
      </c>
      <c r="D39" s="286">
        <f t="shared" si="3"/>
      </c>
      <c r="E39" s="286">
        <f t="shared" si="4"/>
      </c>
      <c r="F39" s="155">
        <f t="shared" si="9"/>
      </c>
      <c r="G39" s="155">
        <f t="shared" si="5"/>
      </c>
      <c r="H39" s="155">
        <f t="shared" si="8"/>
      </c>
      <c r="I39" s="155">
        <f t="shared" si="7"/>
      </c>
      <c r="J39" s="191">
        <f t="shared" si="6"/>
      </c>
      <c r="K39" s="311"/>
      <c r="L39" s="131">
        <f>'Dados de Entrada'!D32</f>
        <v>0</v>
      </c>
      <c r="M39" s="131" t="e">
        <f t="shared" si="0"/>
        <v>#N/A</v>
      </c>
      <c r="N39" s="131">
        <f t="shared" si="1"/>
        <v>4</v>
      </c>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5">
      <c r="A40" s="190">
        <f t="shared" si="2"/>
      </c>
      <c r="B40" s="155">
        <f>IF(A40="","",'Dados de Entrada'!T54)</f>
      </c>
      <c r="C40" s="155">
        <f>IF(A40="","",'Dados de Entrada'!U54)</f>
      </c>
      <c r="D40" s="286">
        <f t="shared" si="3"/>
      </c>
      <c r="E40" s="286">
        <f t="shared" si="4"/>
      </c>
      <c r="F40" s="155">
        <f t="shared" si="9"/>
      </c>
      <c r="G40" s="155">
        <f t="shared" si="5"/>
      </c>
      <c r="H40" s="155">
        <f t="shared" si="8"/>
      </c>
      <c r="I40" s="155">
        <f t="shared" si="7"/>
      </c>
      <c r="J40" s="191">
        <f t="shared" si="6"/>
      </c>
      <c r="K40" s="311"/>
      <c r="L40" s="131">
        <f>'Dados de Entrada'!D33</f>
        <v>0</v>
      </c>
      <c r="M40" s="131" t="e">
        <f t="shared" si="0"/>
        <v>#N/A</v>
      </c>
      <c r="N40" s="131">
        <f t="shared" si="1"/>
        <v>4</v>
      </c>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5">
      <c r="A41" s="190">
        <f t="shared" si="2"/>
      </c>
      <c r="B41" s="155">
        <f>IF(A41="","",'Dados de Entrada'!T55)</f>
      </c>
      <c r="C41" s="155">
        <f>IF(A41="","",'Dados de Entrada'!U55)</f>
      </c>
      <c r="D41" s="286">
        <f t="shared" si="3"/>
      </c>
      <c r="E41" s="286">
        <f t="shared" si="4"/>
      </c>
      <c r="F41" s="155">
        <f t="shared" si="9"/>
      </c>
      <c r="G41" s="155">
        <f t="shared" si="5"/>
      </c>
      <c r="H41" s="155">
        <f t="shared" si="8"/>
      </c>
      <c r="I41" s="155">
        <f t="shared" si="7"/>
      </c>
      <c r="J41" s="191">
        <f t="shared" si="6"/>
      </c>
      <c r="K41" s="311"/>
      <c r="L41" s="131">
        <f>'Dados de Entrada'!D34</f>
        <v>0</v>
      </c>
      <c r="M41" s="131" t="e">
        <f t="shared" si="0"/>
        <v>#N/A</v>
      </c>
      <c r="N41" s="131">
        <f t="shared" si="1"/>
        <v>4</v>
      </c>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5">
      <c r="A42" s="190">
        <f t="shared" si="2"/>
      </c>
      <c r="B42" s="155">
        <f>IF(A42="","",'Dados de Entrada'!T56)</f>
      </c>
      <c r="C42" s="155">
        <f>IF(A42="","",'Dados de Entrada'!U56)</f>
      </c>
      <c r="D42" s="286">
        <f t="shared" si="3"/>
      </c>
      <c r="E42" s="286">
        <f t="shared" si="4"/>
      </c>
      <c r="F42" s="155">
        <f t="shared" si="9"/>
      </c>
      <c r="G42" s="155">
        <f t="shared" si="5"/>
      </c>
      <c r="H42" s="155">
        <f t="shared" si="8"/>
      </c>
      <c r="I42" s="155">
        <f t="shared" si="7"/>
      </c>
      <c r="J42" s="191">
        <f t="shared" si="6"/>
      </c>
      <c r="K42" s="311"/>
      <c r="L42" s="131">
        <f>'Dados de Entrada'!D35</f>
        <v>0</v>
      </c>
      <c r="M42" s="131" t="e">
        <f t="shared" si="0"/>
        <v>#N/A</v>
      </c>
      <c r="N42" s="131">
        <f t="shared" si="1"/>
        <v>4</v>
      </c>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5">
      <c r="A43" s="190">
        <f t="shared" si="2"/>
      </c>
      <c r="B43" s="155">
        <f>IF(A43="","",'Dados de Entrada'!T57)</f>
      </c>
      <c r="C43" s="155">
        <f>IF(A43="","",'Dados de Entrada'!U57)</f>
      </c>
      <c r="D43" s="286">
        <f t="shared" si="3"/>
      </c>
      <c r="E43" s="286">
        <f t="shared" si="4"/>
      </c>
      <c r="F43" s="155">
        <f t="shared" si="9"/>
      </c>
      <c r="G43" s="155">
        <f t="shared" si="5"/>
      </c>
      <c r="H43" s="155">
        <f t="shared" si="8"/>
      </c>
      <c r="I43" s="155">
        <f t="shared" si="7"/>
      </c>
      <c r="J43" s="191">
        <f t="shared" si="6"/>
      </c>
      <c r="K43" s="311"/>
      <c r="L43" s="131">
        <f>'Dados de Entrada'!D36</f>
        <v>0</v>
      </c>
      <c r="M43" s="131" t="e">
        <f t="shared" si="0"/>
        <v>#N/A</v>
      </c>
      <c r="N43" s="131">
        <f t="shared" si="1"/>
        <v>4</v>
      </c>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5">
      <c r="A44" s="190">
        <f t="shared" si="2"/>
      </c>
      <c r="B44" s="155">
        <f>IF(A44="","",'Dados de Entrada'!T58)</f>
      </c>
      <c r="C44" s="155">
        <f>IF(A44="","",'Dados de Entrada'!U58)</f>
      </c>
      <c r="D44" s="286">
        <f t="shared" si="3"/>
      </c>
      <c r="E44" s="286">
        <f t="shared" si="4"/>
      </c>
      <c r="F44" s="155">
        <f t="shared" si="9"/>
      </c>
      <c r="G44" s="155">
        <f t="shared" si="5"/>
      </c>
      <c r="H44" s="155">
        <f t="shared" si="8"/>
      </c>
      <c r="I44" s="155">
        <f t="shared" si="7"/>
      </c>
      <c r="J44" s="191">
        <f t="shared" si="6"/>
      </c>
      <c r="K44" s="311"/>
      <c r="L44" s="131">
        <f>'Dados de Entrada'!D37</f>
        <v>0</v>
      </c>
      <c r="M44" s="131" t="e">
        <f t="shared" si="0"/>
        <v>#N/A</v>
      </c>
      <c r="N44" s="131">
        <f t="shared" si="1"/>
        <v>4</v>
      </c>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5">
      <c r="A45" s="190">
        <f t="shared" si="2"/>
      </c>
      <c r="B45" s="155">
        <f>IF(A45="","",'Dados de Entrada'!T59)</f>
      </c>
      <c r="C45" s="155">
        <f>IF(A45="","",'Dados de Entrada'!U59)</f>
      </c>
      <c r="D45" s="286">
        <f t="shared" si="3"/>
      </c>
      <c r="E45" s="286">
        <f t="shared" si="4"/>
      </c>
      <c r="F45" s="155">
        <f t="shared" si="9"/>
      </c>
      <c r="G45" s="155">
        <f t="shared" si="5"/>
      </c>
      <c r="H45" s="155">
        <f t="shared" si="8"/>
      </c>
      <c r="I45" s="155">
        <f t="shared" si="7"/>
      </c>
      <c r="J45" s="191">
        <f t="shared" si="6"/>
      </c>
      <c r="K45" s="311"/>
      <c r="L45" s="131">
        <f>'Dados de Entrada'!D38</f>
        <v>0</v>
      </c>
      <c r="M45" s="131" t="e">
        <f t="shared" si="0"/>
        <v>#N/A</v>
      </c>
      <c r="N45" s="131">
        <f t="shared" si="1"/>
        <v>4</v>
      </c>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5">
      <c r="A46" s="190">
        <f t="shared" si="2"/>
      </c>
      <c r="B46" s="155">
        <f>IF(A46="","",'Dados de Entrada'!T60)</f>
      </c>
      <c r="C46" s="155">
        <f>IF(A46="","",'Dados de Entrada'!U60)</f>
      </c>
      <c r="D46" s="286">
        <f t="shared" si="3"/>
      </c>
      <c r="E46" s="286">
        <f t="shared" si="4"/>
      </c>
      <c r="F46" s="155">
        <f t="shared" si="9"/>
      </c>
      <c r="G46" s="155">
        <f t="shared" si="5"/>
      </c>
      <c r="H46" s="155">
        <f t="shared" si="8"/>
      </c>
      <c r="I46" s="155">
        <f t="shared" si="7"/>
      </c>
      <c r="J46" s="191">
        <f t="shared" si="6"/>
      </c>
      <c r="K46" s="311"/>
      <c r="L46" s="131">
        <f>'Dados de Entrada'!D39</f>
        <v>0</v>
      </c>
      <c r="M46" s="131" t="e">
        <f t="shared" si="0"/>
        <v>#N/A</v>
      </c>
      <c r="N46" s="131">
        <f t="shared" si="1"/>
        <v>4</v>
      </c>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5">
      <c r="A47" s="190">
        <f t="shared" si="2"/>
      </c>
      <c r="B47" s="155">
        <f>IF(A47="","",'Dados de Entrada'!T61)</f>
      </c>
      <c r="C47" s="155">
        <f>IF(A47="","",'Dados de Entrada'!U61)</f>
      </c>
      <c r="D47" s="286">
        <f t="shared" si="3"/>
      </c>
      <c r="E47" s="286">
        <f t="shared" si="4"/>
      </c>
      <c r="F47" s="155">
        <f t="shared" si="9"/>
      </c>
      <c r="G47" s="155">
        <f t="shared" si="5"/>
      </c>
      <c r="H47" s="155">
        <f t="shared" si="8"/>
      </c>
      <c r="I47" s="155">
        <f t="shared" si="7"/>
      </c>
      <c r="J47" s="191">
        <f t="shared" si="6"/>
      </c>
      <c r="K47" s="311"/>
      <c r="L47" s="131">
        <f>'Dados de Entrada'!D40</f>
        <v>0</v>
      </c>
      <c r="M47" s="131" t="e">
        <f t="shared" si="0"/>
        <v>#N/A</v>
      </c>
      <c r="N47" s="131">
        <f t="shared" si="1"/>
        <v>4</v>
      </c>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5">
      <c r="A48" s="190">
        <f t="shared" si="2"/>
      </c>
      <c r="B48" s="155">
        <f>IF(A48="","",'Dados de Entrada'!T62)</f>
      </c>
      <c r="C48" s="155">
        <f>IF(A48="","",'Dados de Entrada'!U62)</f>
      </c>
      <c r="D48" s="286">
        <f t="shared" si="3"/>
      </c>
      <c r="E48" s="286">
        <f t="shared" si="4"/>
      </c>
      <c r="F48" s="155">
        <f t="shared" si="9"/>
      </c>
      <c r="G48" s="155">
        <f t="shared" si="5"/>
      </c>
      <c r="H48" s="155">
        <f t="shared" si="8"/>
      </c>
      <c r="I48" s="155">
        <f t="shared" si="7"/>
      </c>
      <c r="J48" s="191">
        <f t="shared" si="6"/>
      </c>
      <c r="K48" s="311"/>
      <c r="L48" s="131">
        <f>'Dados de Entrada'!D41</f>
        <v>0</v>
      </c>
      <c r="M48" s="131" t="e">
        <f t="shared" si="0"/>
        <v>#N/A</v>
      </c>
      <c r="N48" s="131">
        <f t="shared" si="1"/>
        <v>4</v>
      </c>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5.75" thickBot="1">
      <c r="A49" s="192">
        <f t="shared" si="2"/>
      </c>
      <c r="B49" s="158">
        <f>IF(A49="","",'Dados de Entrada'!T63)</f>
      </c>
      <c r="C49" s="158">
        <f>IF(A49="","",'Dados de Entrada'!U63)</f>
      </c>
      <c r="D49" s="287">
        <f t="shared" si="3"/>
      </c>
      <c r="E49" s="287">
        <f t="shared" si="4"/>
      </c>
      <c r="F49" s="158">
        <f t="shared" si="9"/>
      </c>
      <c r="G49" s="158">
        <f t="shared" si="5"/>
      </c>
      <c r="H49" s="158">
        <f t="shared" si="8"/>
      </c>
      <c r="I49" s="158">
        <f t="shared" si="7"/>
      </c>
      <c r="J49" s="193">
        <f t="shared" si="6"/>
      </c>
      <c r="K49" s="311"/>
      <c r="L49" s="131">
        <f>'Dados de Entrada'!D42</f>
        <v>0</v>
      </c>
      <c r="M49" s="131" t="e">
        <f t="shared" si="0"/>
        <v>#N/A</v>
      </c>
      <c r="N49" s="131">
        <f t="shared" si="1"/>
        <v>4</v>
      </c>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5">
      <c r="A50" s="160"/>
      <c r="B50" s="161"/>
      <c r="C50" s="161"/>
      <c r="D50" s="161"/>
      <c r="E50" s="161"/>
      <c r="F50" s="161"/>
      <c r="G50" s="161"/>
      <c r="H50" s="161"/>
      <c r="I50" s="161"/>
      <c r="J50" s="161"/>
      <c r="K50" s="311"/>
      <c r="L50" s="29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32" ht="15">
      <c r="A51" s="160"/>
      <c r="B51" s="161"/>
      <c r="C51" s="161"/>
      <c r="D51" s="161"/>
      <c r="E51" s="161"/>
      <c r="F51" s="161"/>
      <c r="G51" s="161"/>
      <c r="H51" s="161"/>
      <c r="I51" s="161"/>
      <c r="J51" s="161"/>
      <c r="K51" s="311"/>
      <c r="L51" s="313"/>
      <c r="M51" s="311"/>
      <c r="N51" s="311"/>
      <c r="O51" s="311"/>
      <c r="P51" s="311"/>
      <c r="Q51" s="311"/>
      <c r="R51" s="311"/>
      <c r="S51" s="311"/>
      <c r="T51" s="311"/>
      <c r="U51" s="311"/>
      <c r="V51" s="311"/>
      <c r="W51" s="311"/>
      <c r="X51" s="311"/>
      <c r="Y51" s="311"/>
      <c r="Z51" s="311"/>
      <c r="AA51" s="311"/>
      <c r="AB51" s="311"/>
      <c r="AC51" s="311"/>
      <c r="AD51" s="311"/>
      <c r="AE51" s="311"/>
      <c r="AF51" s="311"/>
    </row>
    <row r="52" spans="1:32" ht="15">
      <c r="A52" s="160"/>
      <c r="B52" s="161"/>
      <c r="C52" s="161"/>
      <c r="D52" s="161"/>
      <c r="E52" s="161"/>
      <c r="F52" s="161"/>
      <c r="G52" s="161"/>
      <c r="H52" s="161"/>
      <c r="I52" s="161"/>
      <c r="J52" s="161"/>
      <c r="K52" s="311"/>
      <c r="L52" s="313"/>
      <c r="M52" s="311"/>
      <c r="N52" s="311"/>
      <c r="O52" s="311"/>
      <c r="P52" s="311"/>
      <c r="Q52" s="311"/>
      <c r="R52" s="311"/>
      <c r="S52" s="311"/>
      <c r="T52" s="311"/>
      <c r="U52" s="311"/>
      <c r="V52" s="311"/>
      <c r="W52" s="311"/>
      <c r="X52" s="311"/>
      <c r="Y52" s="311"/>
      <c r="Z52" s="311"/>
      <c r="AA52" s="311"/>
      <c r="AB52" s="311"/>
      <c r="AC52" s="311"/>
      <c r="AD52" s="311"/>
      <c r="AE52" s="311"/>
      <c r="AF52" s="311"/>
    </row>
    <row r="53" spans="11:32" ht="15">
      <c r="K53" s="311"/>
      <c r="L53" s="313"/>
      <c r="M53" s="311"/>
      <c r="N53" s="311"/>
      <c r="O53" s="311"/>
      <c r="P53" s="311"/>
      <c r="Q53" s="311"/>
      <c r="R53" s="311"/>
      <c r="S53" s="311"/>
      <c r="T53" s="311"/>
      <c r="U53" s="311"/>
      <c r="V53" s="311"/>
      <c r="W53" s="311"/>
      <c r="X53" s="311"/>
      <c r="Y53" s="311"/>
      <c r="Z53" s="311"/>
      <c r="AA53" s="311"/>
      <c r="AB53" s="311"/>
      <c r="AC53" s="311"/>
      <c r="AD53" s="311"/>
      <c r="AE53" s="311"/>
      <c r="AF53" s="311"/>
    </row>
    <row r="54" spans="11:32" ht="15">
      <c r="K54" s="311"/>
      <c r="L54" s="313"/>
      <c r="M54" s="311"/>
      <c r="N54" s="311"/>
      <c r="O54" s="311"/>
      <c r="P54" s="311"/>
      <c r="Q54" s="311"/>
      <c r="R54" s="311"/>
      <c r="S54" s="311"/>
      <c r="T54" s="311"/>
      <c r="U54" s="311"/>
      <c r="V54" s="311"/>
      <c r="W54" s="311"/>
      <c r="X54" s="311"/>
      <c r="Y54" s="311"/>
      <c r="Z54" s="311"/>
      <c r="AA54" s="311"/>
      <c r="AB54" s="311"/>
      <c r="AC54" s="311"/>
      <c r="AD54" s="311"/>
      <c r="AE54" s="311"/>
      <c r="AF54" s="311"/>
    </row>
    <row r="55" spans="11:32" ht="15">
      <c r="K55" s="311"/>
      <c r="L55" s="313"/>
      <c r="M55" s="311"/>
      <c r="N55" s="311"/>
      <c r="O55" s="311"/>
      <c r="P55" s="311"/>
      <c r="Q55" s="311"/>
      <c r="R55" s="311"/>
      <c r="S55" s="311"/>
      <c r="T55" s="311"/>
      <c r="U55" s="311"/>
      <c r="V55" s="311"/>
      <c r="W55" s="311"/>
      <c r="X55" s="311"/>
      <c r="Y55" s="311"/>
      <c r="Z55" s="311"/>
      <c r="AA55" s="311"/>
      <c r="AB55" s="311"/>
      <c r="AC55" s="311"/>
      <c r="AD55" s="311"/>
      <c r="AE55" s="311"/>
      <c r="AF55" s="311"/>
    </row>
    <row r="56" spans="11:32" ht="15">
      <c r="K56" s="311"/>
      <c r="L56" s="313"/>
      <c r="M56" s="311"/>
      <c r="N56" s="311"/>
      <c r="O56" s="311"/>
      <c r="P56" s="311"/>
      <c r="Q56" s="311"/>
      <c r="R56" s="311"/>
      <c r="S56" s="311"/>
      <c r="T56" s="311"/>
      <c r="U56" s="311"/>
      <c r="V56" s="311"/>
      <c r="W56" s="311"/>
      <c r="X56" s="311"/>
      <c r="Y56" s="311"/>
      <c r="Z56" s="311"/>
      <c r="AA56" s="311"/>
      <c r="AB56" s="311"/>
      <c r="AC56" s="311"/>
      <c r="AD56" s="311"/>
      <c r="AE56" s="311"/>
      <c r="AF56" s="311"/>
    </row>
    <row r="57" spans="11:32" ht="15">
      <c r="K57" s="311"/>
      <c r="L57" s="313"/>
      <c r="M57" s="311"/>
      <c r="N57" s="311"/>
      <c r="O57" s="311"/>
      <c r="P57" s="311"/>
      <c r="Q57" s="311"/>
      <c r="R57" s="311"/>
      <c r="S57" s="311"/>
      <c r="T57" s="311"/>
      <c r="U57" s="311"/>
      <c r="V57" s="311"/>
      <c r="W57" s="311"/>
      <c r="X57" s="311"/>
      <c r="Y57" s="311"/>
      <c r="Z57" s="311"/>
      <c r="AA57" s="311"/>
      <c r="AB57" s="311"/>
      <c r="AC57" s="311"/>
      <c r="AD57" s="311"/>
      <c r="AE57" s="311"/>
      <c r="AF57" s="311"/>
    </row>
    <row r="58" spans="11:32" ht="15">
      <c r="K58" s="311"/>
      <c r="L58" s="313"/>
      <c r="M58" s="311"/>
      <c r="N58" s="311"/>
      <c r="O58" s="311"/>
      <c r="P58" s="311"/>
      <c r="Q58" s="311"/>
      <c r="R58" s="311"/>
      <c r="S58" s="311"/>
      <c r="T58" s="311"/>
      <c r="U58" s="311"/>
      <c r="V58" s="311"/>
      <c r="W58" s="311"/>
      <c r="X58" s="311"/>
      <c r="Y58" s="311"/>
      <c r="Z58" s="311"/>
      <c r="AA58" s="311"/>
      <c r="AB58" s="311"/>
      <c r="AC58" s="311"/>
      <c r="AD58" s="311"/>
      <c r="AE58" s="311"/>
      <c r="AF58" s="311"/>
    </row>
    <row r="59" spans="11:32" ht="15">
      <c r="K59" s="311"/>
      <c r="L59" s="313"/>
      <c r="M59" s="311"/>
      <c r="N59" s="311"/>
      <c r="O59" s="311"/>
      <c r="P59" s="311"/>
      <c r="Q59" s="311"/>
      <c r="R59" s="311"/>
      <c r="S59" s="311"/>
      <c r="T59" s="311"/>
      <c r="U59" s="311"/>
      <c r="V59" s="311"/>
      <c r="W59" s="311"/>
      <c r="X59" s="311"/>
      <c r="Y59" s="311"/>
      <c r="Z59" s="311"/>
      <c r="AA59" s="311"/>
      <c r="AB59" s="311"/>
      <c r="AC59" s="311"/>
      <c r="AD59" s="311"/>
      <c r="AE59" s="311"/>
      <c r="AF59" s="311"/>
    </row>
    <row r="60" spans="11:32" ht="15">
      <c r="K60" s="311"/>
      <c r="L60" s="313"/>
      <c r="M60" s="311"/>
      <c r="N60" s="311"/>
      <c r="O60" s="311"/>
      <c r="P60" s="311"/>
      <c r="Q60" s="311"/>
      <c r="R60" s="311"/>
      <c r="S60" s="311"/>
      <c r="T60" s="311"/>
      <c r="U60" s="311"/>
      <c r="V60" s="311"/>
      <c r="W60" s="311"/>
      <c r="X60" s="311"/>
      <c r="Y60" s="311"/>
      <c r="Z60" s="311"/>
      <c r="AA60" s="311"/>
      <c r="AB60" s="311"/>
      <c r="AC60" s="311"/>
      <c r="AD60" s="311"/>
      <c r="AE60" s="311"/>
      <c r="AF60" s="311"/>
    </row>
    <row r="61" spans="12:20" ht="15">
      <c r="L61" s="289"/>
      <c r="M61" s="288"/>
      <c r="N61" s="288"/>
      <c r="O61" s="288"/>
      <c r="P61" s="288"/>
      <c r="Q61" s="288"/>
      <c r="R61" s="288"/>
      <c r="S61" s="288"/>
      <c r="T61" s="288"/>
    </row>
    <row r="62" spans="12:20" ht="15">
      <c r="L62" s="289"/>
      <c r="M62" s="288"/>
      <c r="N62" s="288"/>
      <c r="O62" s="288"/>
      <c r="P62" s="288"/>
      <c r="Q62" s="288"/>
      <c r="R62" s="288"/>
      <c r="S62" s="288"/>
      <c r="T62" s="288"/>
    </row>
  </sheetData>
  <sheetProtection selectLockedCells="1" selectUnlockedCells="1"/>
  <mergeCells count="11">
    <mergeCell ref="A8:J8"/>
    <mergeCell ref="A2:J2"/>
    <mergeCell ref="A1:L1"/>
    <mergeCell ref="F5:H5"/>
    <mergeCell ref="I5:J5"/>
    <mergeCell ref="F6:H6"/>
    <mergeCell ref="I6:J6"/>
    <mergeCell ref="E3:F3"/>
    <mergeCell ref="E4:F4"/>
    <mergeCell ref="B3:D3"/>
    <mergeCell ref="B4:D4"/>
  </mergeCells>
  <conditionalFormatting sqref="A10">
    <cfRule type="cellIs" priority="4" dxfId="3" operator="between">
      <formula>0</formula>
      <formula>51</formula>
    </cfRule>
  </conditionalFormatting>
  <conditionalFormatting sqref="A11:A49">
    <cfRule type="cellIs" priority="3" dxfId="19" operator="between">
      <formula>1</formula>
      <formula>41</formula>
    </cfRule>
  </conditionalFormatting>
  <conditionalFormatting sqref="B10:I49">
    <cfRule type="cellIs" priority="2" dxfId="19" operator="between">
      <formula>-1</formula>
      <formula>9999999</formula>
    </cfRule>
  </conditionalFormatting>
  <conditionalFormatting sqref="J10:J49">
    <cfRule type="cellIs" priority="1" dxfId="23" operator="between">
      <formula>0</formula>
      <formula>9999999</formula>
    </cfRule>
  </conditionalFormatting>
  <printOptions/>
  <pageMargins left="0.511811024" right="0.511811024" top="0.787401575" bottom="0.787401575" header="0.31496062" footer="0.31496062"/>
  <pageSetup horizontalDpi="300" verticalDpi="300" orientation="portrait" paperSize="9" r:id="rId4"/>
  <headerFooter>
    <oddHeader>&amp;C&amp;"-,Negrito itálico"&amp;14ESTIMATIVA DA CAPACIDADE DE CARGA DE UMA ESTACA&amp;"-,Regular"&amp;11&amp;"-,Itálico"&amp;12Método de Teixeira (1996)</oddHeader>
  </headerFooter>
  <ignoredErrors>
    <ignoredError sqref="M22:M49 M10:M21 I10:J10" evalError="1"/>
  </ignoredErrors>
  <drawing r:id="rId3"/>
  <legacyDrawing r:id="rId2"/>
</worksheet>
</file>

<file path=xl/worksheets/sheet7.xml><?xml version="1.0" encoding="utf-8"?>
<worksheet xmlns="http://schemas.openxmlformats.org/spreadsheetml/2006/main" xmlns:r="http://schemas.openxmlformats.org/officeDocument/2006/relationships">
  <sheetPr codeName="Plan7"/>
  <dimension ref="A1:F51"/>
  <sheetViews>
    <sheetView showGridLines="0" showRowColHeaders="0" zoomScalePageLayoutView="0" workbookViewId="0" topLeftCell="A1">
      <pane ySplit="9" topLeftCell="A34" activePane="bottomLeft" state="frozen"/>
      <selection pane="topLeft" activeCell="A1" sqref="A1"/>
      <selection pane="bottomLeft" activeCell="Q14" sqref="Q14"/>
    </sheetView>
  </sheetViews>
  <sheetFormatPr defaultColWidth="9.00390625" defaultRowHeight="15"/>
  <cols>
    <col min="1" max="1" width="18.00390625" style="0" customWidth="1"/>
    <col min="2" max="2" width="17.140625" style="28" customWidth="1"/>
    <col min="3" max="3" width="19.7109375" style="0" customWidth="1"/>
    <col min="4" max="4" width="16.7109375" style="0" customWidth="1"/>
    <col min="5" max="6" width="12.7109375" style="0" customWidth="1"/>
  </cols>
  <sheetData>
    <row r="1" spans="1:5" ht="19.5" thickBot="1">
      <c r="A1" s="462" t="s">
        <v>214</v>
      </c>
      <c r="B1" s="463"/>
      <c r="C1" s="463"/>
      <c r="D1" s="463"/>
      <c r="E1" s="464"/>
    </row>
    <row r="2" spans="1:5" ht="15">
      <c r="A2" s="144" t="s">
        <v>89</v>
      </c>
      <c r="B2" s="413" t="s">
        <v>76</v>
      </c>
      <c r="C2" s="415"/>
      <c r="D2" s="145" t="s">
        <v>29</v>
      </c>
      <c r="E2" s="146" t="s">
        <v>217</v>
      </c>
    </row>
    <row r="3" spans="1:5" ht="15.75" thickBot="1">
      <c r="A3" s="134" t="str">
        <f>IF('Dados de Entrada'!$K$4=1,"Pré-Moldada","Moldada in-loco")</f>
        <v>Moldada in-loco</v>
      </c>
      <c r="B3" s="460" t="str">
        <f>VLOOKUP('Dados de Entrada'!$L$4,'Dados de Entrada'!$R$6:$T$16,3)</f>
        <v>Escavada</v>
      </c>
      <c r="C3" s="461"/>
      <c r="D3" s="13">
        <f>'Dados de Entrada'!$M$3</f>
        <v>25</v>
      </c>
      <c r="E3" s="14">
        <f>'Dados de Entrada'!$E$2:$F$2-1</f>
        <v>41</v>
      </c>
    </row>
    <row r="4" spans="1:5" ht="15">
      <c r="A4" s="465" t="s">
        <v>215</v>
      </c>
      <c r="B4" s="466"/>
      <c r="C4" s="466"/>
      <c r="D4" s="466"/>
      <c r="E4" s="467"/>
    </row>
    <row r="5" spans="1:5" ht="15">
      <c r="A5" s="162" t="s">
        <v>216</v>
      </c>
      <c r="B5" s="163" t="s">
        <v>171</v>
      </c>
      <c r="C5" s="163" t="s">
        <v>160</v>
      </c>
      <c r="D5" s="163" t="s">
        <v>161</v>
      </c>
      <c r="E5" s="167" t="s">
        <v>188</v>
      </c>
    </row>
    <row r="6" spans="1:5" ht="15.75" thickBot="1">
      <c r="A6" s="164">
        <f>'Dados de Entrada'!$N$3</f>
        <v>15</v>
      </c>
      <c r="B6" s="165">
        <f>VLOOKUP($A$6,$A$10:$E$50,2)</f>
        <v>257.50260534689596</v>
      </c>
      <c r="C6" s="165">
        <f>VLOOKUP($A$6,$A$10:$E$50,3)</f>
        <v>174.87369176368358</v>
      </c>
      <c r="D6" s="165">
        <f>VLOOKUP($A$6,$A$10:$E$50,4)</f>
        <v>315.11794978382477</v>
      </c>
      <c r="E6" s="166">
        <f>VLOOKUP($A$6,$A$10:$E$50,5)</f>
        <v>249.16474896480145</v>
      </c>
    </row>
    <row r="7" ht="15.75" thickBot="1"/>
    <row r="8" spans="1:6" ht="16.5" thickBot="1">
      <c r="A8" s="457" t="s">
        <v>187</v>
      </c>
      <c r="B8" s="458"/>
      <c r="C8" s="458"/>
      <c r="D8" s="458"/>
      <c r="E8" s="459"/>
      <c r="F8" s="151"/>
    </row>
    <row r="9" spans="1:5" ht="15.75" customHeight="1" thickBot="1">
      <c r="A9" s="152" t="s">
        <v>8</v>
      </c>
      <c r="B9" s="199" t="s">
        <v>171</v>
      </c>
      <c r="C9" s="200" t="s">
        <v>160</v>
      </c>
      <c r="D9" s="201" t="s">
        <v>161</v>
      </c>
      <c r="E9" s="202" t="s">
        <v>188</v>
      </c>
    </row>
    <row r="10" spans="1:5" ht="15">
      <c r="A10" s="203">
        <v>0</v>
      </c>
      <c r="B10" s="204">
        <v>0</v>
      </c>
      <c r="C10" s="205">
        <v>0</v>
      </c>
      <c r="D10" s="206">
        <v>0</v>
      </c>
      <c r="E10" s="207">
        <v>0</v>
      </c>
    </row>
    <row r="11" spans="1:5" ht="15">
      <c r="A11" s="154">
        <v>1</v>
      </c>
      <c r="B11" s="196">
        <f>IF(A11&lt;='Dados de Entrada'!$N$3,'Aoki-Velloso'!J9,0)</f>
        <v>17.066047592157055</v>
      </c>
      <c r="C11" s="197">
        <f>IF(A11&lt;='Dados de Entrada'!$N$3,'Décourt-Quaresma'!I12,0)</f>
        <v>4.417864669110648</v>
      </c>
      <c r="D11" s="198">
        <f>IF(A11&lt;='Dados de Entrada'!$N$3,Teixeira!J10,0)</f>
        <v>23.807381827985154</v>
      </c>
      <c r="E11" s="194">
        <f aca="true" t="shared" si="0" ref="E11:E50">IF(A11="","",AVERAGE(B11:D11))</f>
        <v>15.097098029750953</v>
      </c>
    </row>
    <row r="12" spans="1:5" ht="15">
      <c r="A12" s="154">
        <v>2</v>
      </c>
      <c r="B12" s="196">
        <f>IF(A12&lt;='Dados de Entrada'!$N$3,'Aoki-Velloso'!J10,0)</f>
        <v>19.814941164048122</v>
      </c>
      <c r="C12" s="197">
        <f>IF(A12&lt;='Dados de Entrada'!$N$3,'Décourt-Quaresma'!I13,0)</f>
        <v>4.123340357836604</v>
      </c>
      <c r="D12" s="198">
        <f>IF(A12&lt;='Dados de Entrada'!$N$3,Teixeira!J11,0)</f>
        <v>31.661363461959635</v>
      </c>
      <c r="E12" s="194">
        <f t="shared" si="0"/>
        <v>18.533214994614784</v>
      </c>
    </row>
    <row r="13" spans="1:5" ht="15">
      <c r="A13" s="154">
        <v>3</v>
      </c>
      <c r="B13" s="196">
        <f>IF(A13&lt;='Dados de Entrada'!$N$3,'Aoki-Velloso'!J11,0)</f>
        <v>19.15062521750778</v>
      </c>
      <c r="C13" s="197">
        <f>IF(A13&lt;='Dados de Entrada'!$N$3,'Décourt-Quaresma'!I14,0)</f>
        <v>14.453507868078042</v>
      </c>
      <c r="D13" s="198">
        <f>IF(A13&lt;='Dados de Entrada'!$N$3,Teixeira!J12,0)</f>
        <v>37.39640630093475</v>
      </c>
      <c r="E13" s="194">
        <f t="shared" si="0"/>
        <v>23.666846462173524</v>
      </c>
    </row>
    <row r="14" spans="1:5" ht="15">
      <c r="A14" s="154">
        <v>4</v>
      </c>
      <c r="B14" s="196">
        <f>IF(A14&lt;='Dados de Entrada'!$N$3,'Aoki-Velloso'!J12,0)</f>
        <v>28.176159111883457</v>
      </c>
      <c r="C14" s="197">
        <f>IF(A14&lt;='Dados de Entrada'!$N$3,'Décourt-Quaresma'!I15,0)</f>
        <v>25.11092461306842</v>
      </c>
      <c r="D14" s="198">
        <f>IF(A14&lt;='Dados de Entrada'!$N$3,Teixeira!J13,0)</f>
        <v>46.8457279543103</v>
      </c>
      <c r="E14" s="194">
        <f t="shared" si="0"/>
        <v>33.37760389308739</v>
      </c>
    </row>
    <row r="15" spans="1:5" ht="15">
      <c r="A15" s="154">
        <v>5</v>
      </c>
      <c r="B15" s="196">
        <f>IF(A15&lt;='Dados de Entrada'!$N$3,'Aoki-Velloso'!J13,0)</f>
        <v>45.127669471878384</v>
      </c>
      <c r="C15" s="197">
        <f>IF(A15&lt;='Dados de Entrada'!$N$3,'Décourt-Quaresma'!I16,0)</f>
        <v>35.71379981893397</v>
      </c>
      <c r="D15" s="198">
        <f>IF(A15&lt;='Dados de Entrada'!$N$3,Teixeira!J14,0)</f>
        <v>65.84254603148608</v>
      </c>
      <c r="E15" s="194">
        <f t="shared" si="0"/>
        <v>48.89467177409947</v>
      </c>
    </row>
    <row r="16" spans="1:5" ht="15">
      <c r="A16" s="154">
        <v>6</v>
      </c>
      <c r="B16" s="196">
        <f>IF(A16&lt;='Dados de Entrada'!$N$3,'Aoki-Velloso'!J14,0)</f>
        <v>47.21224709722911</v>
      </c>
      <c r="C16" s="197">
        <f>IF(A16&lt;='Dados de Entrada'!$N$3,'Décourt-Quaresma'!I17,0)</f>
        <v>48.50924489761739</v>
      </c>
      <c r="D16" s="198">
        <f>IF(A16&lt;='Dados de Entrada'!$N$3,Teixeira!J15,0)</f>
        <v>80.83874221385611</v>
      </c>
      <c r="E16" s="194">
        <f t="shared" si="0"/>
        <v>58.85341140290087</v>
      </c>
    </row>
    <row r="17" spans="1:5" ht="15">
      <c r="A17" s="154">
        <v>7</v>
      </c>
      <c r="B17" s="196">
        <f>IF(A17&lt;='Dados de Entrada'!$N$3,'Aoki-Velloso'!J15,0)</f>
        <v>69.2263031187901</v>
      </c>
      <c r="C17" s="197">
        <f>IF(A17&lt;='Dados de Entrada'!$N$3,'Décourt-Quaresma'!I18,0)</f>
        <v>58.68202110924149</v>
      </c>
      <c r="D17" s="198">
        <f>IF(A17&lt;='Dados de Entrada'!$N$3,Teixeira!J16,0)</f>
        <v>99.11327448005031</v>
      </c>
      <c r="E17" s="194">
        <f t="shared" si="0"/>
        <v>75.67386623602731</v>
      </c>
    </row>
    <row r="18" spans="1:5" ht="15">
      <c r="A18" s="154">
        <v>8</v>
      </c>
      <c r="B18" s="196">
        <f>IF(A18&lt;='Dados de Entrada'!$N$3,'Aoki-Velloso'!J16,0)</f>
        <v>70.09678608322227</v>
      </c>
      <c r="C18" s="197">
        <f>IF(A18&lt;='Dados de Entrada'!$N$3,'Décourt-Quaresma'!I19,0)</f>
        <v>71.68199695964302</v>
      </c>
      <c r="D18" s="198">
        <f>IF(A18&lt;='Dados de Entrada'!$N$3,Teixeira!J17,0)</f>
        <v>116.66201469346205</v>
      </c>
      <c r="E18" s="194">
        <f t="shared" si="0"/>
        <v>86.14693257877578</v>
      </c>
    </row>
    <row r="19" spans="1:5" ht="15">
      <c r="A19" s="154">
        <v>9</v>
      </c>
      <c r="B19" s="196">
        <f>IF(A19&lt;='Dados de Entrada'!$N$3,'Aoki-Velloso'!J17,0)</f>
        <v>86.93375921105506</v>
      </c>
      <c r="C19" s="197">
        <f>IF(A19&lt;='Dados de Entrada'!$N$3,'Décourt-Quaresma'!I20,0)</f>
        <v>80.6195371708973</v>
      </c>
      <c r="D19" s="198">
        <f>IF(A19&lt;='Dados de Entrada'!$N$3,Teixeira!J18,0)</f>
        <v>132.21998872881775</v>
      </c>
      <c r="E19" s="194">
        <f t="shared" si="0"/>
        <v>99.92442837025669</v>
      </c>
    </row>
    <row r="20" spans="1:5" ht="15">
      <c r="A20" s="154">
        <v>10</v>
      </c>
      <c r="B20" s="196">
        <f>IF(A20&lt;='Dados de Entrada'!$N$3,'Aoki-Velloso'!J18,0)</f>
        <v>84.94081137143404</v>
      </c>
      <c r="C20" s="197">
        <f>IF(A20&lt;='Dados de Entrada'!$N$3,'Décourt-Quaresma'!I21,0)</f>
        <v>94.5341746324221</v>
      </c>
      <c r="D20" s="198">
        <f>IF(A20&lt;='Dados de Entrada'!$N$3,Teixeira!J19,0)</f>
        <v>146.6713149353308</v>
      </c>
      <c r="E20" s="194">
        <f t="shared" si="0"/>
        <v>108.71543364639565</v>
      </c>
    </row>
    <row r="21" spans="1:5" ht="15">
      <c r="A21" s="154">
        <v>11</v>
      </c>
      <c r="B21" s="196">
        <f>IF(A21&lt;='Dados de Entrada'!$N$3,'Aoki-Velloso'!J19,0)</f>
        <v>112.01741305456106</v>
      </c>
      <c r="C21" s="197">
        <f>IF(A21&lt;='Dados de Entrada'!$N$3,'Décourt-Quaresma'!I22,0)</f>
        <v>108.30839242230915</v>
      </c>
      <c r="D21" s="198">
        <f>IF(A21&lt;='Dados de Entrada'!$N$3,Teixeira!J20,0)</f>
        <v>167.16529826148297</v>
      </c>
      <c r="E21" s="194">
        <f t="shared" si="0"/>
        <v>129.16370124611774</v>
      </c>
    </row>
    <row r="22" spans="1:5" ht="15">
      <c r="A22" s="154">
        <v>12</v>
      </c>
      <c r="B22" s="196">
        <f>IF(A22&lt;='Dados de Entrada'!$N$3,'Aoki-Velloso'!J20,0)</f>
        <v>128.73984895023173</v>
      </c>
      <c r="C22" s="197">
        <f>IF(A22&lt;='Dados de Entrada'!$N$3,'Décourt-Quaresma'!I23,0)</f>
        <v>127.75790527422097</v>
      </c>
      <c r="D22" s="198">
        <f>IF(A22&lt;='Dados de Entrada'!$N$3,Teixeira!J21,0)</f>
        <v>196.94497862363622</v>
      </c>
      <c r="E22" s="194">
        <f t="shared" si="0"/>
        <v>151.14757761602962</v>
      </c>
    </row>
    <row r="23" spans="1:5" ht="15">
      <c r="A23" s="154">
        <v>13</v>
      </c>
      <c r="B23" s="196">
        <f>IF(A23&lt;='Dados de Entrada'!$N$3,'Aoki-Velloso'!J21,0)</f>
        <v>160.2146803483845</v>
      </c>
      <c r="C23" s="197">
        <f>IF(A23&lt;='Dados de Entrada'!$N$3,'Décourt-Quaresma'!I24,0)</f>
        <v>148.1128076756048</v>
      </c>
      <c r="D23" s="198">
        <f>IF(A23&lt;='Dados de Entrada'!$N$3,Teixeira!J22,0)</f>
        <v>228.5572547003835</v>
      </c>
      <c r="E23" s="194">
        <f t="shared" si="0"/>
        <v>178.96158090812426</v>
      </c>
    </row>
    <row r="24" spans="1:5" ht="15">
      <c r="A24" s="154">
        <v>14</v>
      </c>
      <c r="B24" s="196">
        <f>IF(A24&lt;='Dados de Entrada'!$N$3,'Aoki-Velloso'!J22,0)</f>
        <v>198.40139355123793</v>
      </c>
      <c r="C24" s="197">
        <f>IF(A24&lt;='Dados de Entrada'!$N$3,'Décourt-Quaresma'!I25,0)</f>
        <v>174.62934566840437</v>
      </c>
      <c r="D24" s="198">
        <f>IF(A24&lt;='Dados de Entrada'!$N$3,Teixeira!J23,0)</f>
        <v>270.5024253643285</v>
      </c>
      <c r="E24" s="194">
        <f t="shared" si="0"/>
        <v>214.5110548613236</v>
      </c>
    </row>
    <row r="25" spans="1:5" ht="15">
      <c r="A25" s="154">
        <v>15</v>
      </c>
      <c r="B25" s="196">
        <f>IF(A25&lt;='Dados de Entrada'!$N$3,'Aoki-Velloso'!J23,0)</f>
        <v>257.50260534689596</v>
      </c>
      <c r="C25" s="197">
        <f>IF(A25&lt;='Dados de Entrada'!$N$3,'Décourt-Quaresma'!I26,0)</f>
        <v>174.87369176368358</v>
      </c>
      <c r="D25" s="198">
        <f>IF(A25&lt;='Dados de Entrada'!$N$3,Teixeira!J24,0)</f>
        <v>315.11794978382477</v>
      </c>
      <c r="E25" s="194">
        <f t="shared" si="0"/>
        <v>249.16474896480145</v>
      </c>
    </row>
    <row r="26" spans="1:5" ht="15">
      <c r="A26" s="154">
        <v>16</v>
      </c>
      <c r="B26" s="196">
        <f>IF(A26&lt;='Dados de Entrada'!$N$3,'Aoki-Velloso'!J24,0)</f>
        <v>0</v>
      </c>
      <c r="C26" s="197">
        <f>IF(A26&lt;='Dados de Entrada'!$N$3,'Décourt-Quaresma'!I27,0)</f>
        <v>0</v>
      </c>
      <c r="D26" s="198">
        <f>IF(A26&lt;='Dados de Entrada'!$N$3,Teixeira!J25,0)</f>
        <v>0</v>
      </c>
      <c r="E26" s="194">
        <f t="shared" si="0"/>
        <v>0</v>
      </c>
    </row>
    <row r="27" spans="1:5" ht="15">
      <c r="A27" s="154">
        <v>17</v>
      </c>
      <c r="B27" s="196">
        <f>IF(A27&lt;='Dados de Entrada'!$N$3,'Aoki-Velloso'!J25,0)</f>
        <v>0</v>
      </c>
      <c r="C27" s="197">
        <f>IF(A27&lt;='Dados de Entrada'!$N$3,'Décourt-Quaresma'!I28,0)</f>
        <v>0</v>
      </c>
      <c r="D27" s="198">
        <f>IF(A27&lt;='Dados de Entrada'!$N$3,Teixeira!J26,0)</f>
        <v>0</v>
      </c>
      <c r="E27" s="194">
        <f t="shared" si="0"/>
        <v>0</v>
      </c>
    </row>
    <row r="28" spans="1:5" ht="15">
      <c r="A28" s="154">
        <v>18</v>
      </c>
      <c r="B28" s="196">
        <f>IF(A28&lt;='Dados de Entrada'!$N$3,'Aoki-Velloso'!J26,0)</f>
        <v>0</v>
      </c>
      <c r="C28" s="197">
        <f>IF(A28&lt;='Dados de Entrada'!$N$3,'Décourt-Quaresma'!I29,0)</f>
        <v>0</v>
      </c>
      <c r="D28" s="198">
        <f>IF(A28&lt;='Dados de Entrada'!$N$3,Teixeira!J27,0)</f>
        <v>0</v>
      </c>
      <c r="E28" s="194">
        <f t="shared" si="0"/>
        <v>0</v>
      </c>
    </row>
    <row r="29" spans="1:5" ht="15">
      <c r="A29" s="154">
        <v>19</v>
      </c>
      <c r="B29" s="196">
        <f>IF(A29&lt;='Dados de Entrada'!$N$3,'Aoki-Velloso'!J27,0)</f>
        <v>0</v>
      </c>
      <c r="C29" s="197">
        <f>IF(A29&lt;='Dados de Entrada'!$N$3,'Décourt-Quaresma'!I30,0)</f>
        <v>0</v>
      </c>
      <c r="D29" s="198">
        <f>IF(A29&lt;='Dados de Entrada'!$N$3,Teixeira!J28,0)</f>
        <v>0</v>
      </c>
      <c r="E29" s="194">
        <f t="shared" si="0"/>
        <v>0</v>
      </c>
    </row>
    <row r="30" spans="1:5" ht="15">
      <c r="A30" s="154">
        <v>20</v>
      </c>
      <c r="B30" s="196">
        <f>IF(A30&lt;='Dados de Entrada'!$N$3,'Aoki-Velloso'!J28,0)</f>
        <v>0</v>
      </c>
      <c r="C30" s="197">
        <f>IF(A30&lt;='Dados de Entrada'!$N$3,'Décourt-Quaresma'!I31,0)</f>
        <v>0</v>
      </c>
      <c r="D30" s="198">
        <f>IF(A30&lt;='Dados de Entrada'!$N$3,Teixeira!J29,0)</f>
        <v>0</v>
      </c>
      <c r="E30" s="194">
        <f t="shared" si="0"/>
        <v>0</v>
      </c>
    </row>
    <row r="31" spans="1:5" ht="15">
      <c r="A31" s="154">
        <v>21</v>
      </c>
      <c r="B31" s="196">
        <f>IF(A31&lt;='Dados de Entrada'!$N$3,'Aoki-Velloso'!J29,0)</f>
        <v>0</v>
      </c>
      <c r="C31" s="197">
        <f>IF(A31&lt;='Dados de Entrada'!$N$3,'Décourt-Quaresma'!I32,0)</f>
        <v>0</v>
      </c>
      <c r="D31" s="198">
        <f>IF(A31&lt;='Dados de Entrada'!$N$3,Teixeira!J30,0)</f>
        <v>0</v>
      </c>
      <c r="E31" s="194">
        <f t="shared" si="0"/>
        <v>0</v>
      </c>
    </row>
    <row r="32" spans="1:5" ht="15">
      <c r="A32" s="154">
        <v>22</v>
      </c>
      <c r="B32" s="196">
        <f>IF(A32&lt;='Dados de Entrada'!$N$3,'Aoki-Velloso'!J30,0)</f>
        <v>0</v>
      </c>
      <c r="C32" s="197">
        <f>IF(A32&lt;='Dados de Entrada'!$N$3,'Décourt-Quaresma'!I33,0)</f>
        <v>0</v>
      </c>
      <c r="D32" s="198">
        <f>IF(A32&lt;='Dados de Entrada'!$N$3,Teixeira!J31,0)</f>
        <v>0</v>
      </c>
      <c r="E32" s="194">
        <f t="shared" si="0"/>
        <v>0</v>
      </c>
    </row>
    <row r="33" spans="1:5" ht="15">
      <c r="A33" s="154">
        <v>23</v>
      </c>
      <c r="B33" s="196">
        <f>IF(A33&lt;='Dados de Entrada'!$N$3,'Aoki-Velloso'!J31,0)</f>
        <v>0</v>
      </c>
      <c r="C33" s="197">
        <f>IF(A33&lt;='Dados de Entrada'!$N$3,'Décourt-Quaresma'!I34,0)</f>
        <v>0</v>
      </c>
      <c r="D33" s="198">
        <f>IF(A33&lt;='Dados de Entrada'!$N$3,Teixeira!J32,0)</f>
        <v>0</v>
      </c>
      <c r="E33" s="194">
        <f t="shared" si="0"/>
        <v>0</v>
      </c>
    </row>
    <row r="34" spans="1:5" ht="15">
      <c r="A34" s="154">
        <v>24</v>
      </c>
      <c r="B34" s="196">
        <f>IF(A34&lt;='Dados de Entrada'!$N$3,'Aoki-Velloso'!J32,0)</f>
        <v>0</v>
      </c>
      <c r="C34" s="197">
        <f>IF(A34&lt;='Dados de Entrada'!$N$3,'Décourt-Quaresma'!I35,0)</f>
        <v>0</v>
      </c>
      <c r="D34" s="198">
        <f>IF(A34&lt;='Dados de Entrada'!$N$3,Teixeira!J33,0)</f>
        <v>0</v>
      </c>
      <c r="E34" s="194">
        <f t="shared" si="0"/>
        <v>0</v>
      </c>
    </row>
    <row r="35" spans="1:5" ht="15">
      <c r="A35" s="154">
        <v>25</v>
      </c>
      <c r="B35" s="196">
        <f>IF(A35&lt;='Dados de Entrada'!$N$3,'Aoki-Velloso'!J33,0)</f>
        <v>0</v>
      </c>
      <c r="C35" s="197">
        <f>IF(A35&lt;='Dados de Entrada'!$N$3,'Décourt-Quaresma'!I36,0)</f>
        <v>0</v>
      </c>
      <c r="D35" s="198">
        <f>IF(A35&lt;='Dados de Entrada'!$N$3,Teixeira!J34,0)</f>
        <v>0</v>
      </c>
      <c r="E35" s="194">
        <f t="shared" si="0"/>
        <v>0</v>
      </c>
    </row>
    <row r="36" spans="1:5" ht="15">
      <c r="A36" s="154">
        <v>26</v>
      </c>
      <c r="B36" s="196">
        <f>IF(A36&lt;='Dados de Entrada'!$N$3,'Aoki-Velloso'!J34,0)</f>
        <v>0</v>
      </c>
      <c r="C36" s="197">
        <f>IF(A36&lt;='Dados de Entrada'!$N$3,'Décourt-Quaresma'!I37,0)</f>
        <v>0</v>
      </c>
      <c r="D36" s="198">
        <f>IF(A36&lt;='Dados de Entrada'!$N$3,Teixeira!J35,0)</f>
        <v>0</v>
      </c>
      <c r="E36" s="194">
        <f t="shared" si="0"/>
        <v>0</v>
      </c>
    </row>
    <row r="37" spans="1:5" ht="15">
      <c r="A37" s="154">
        <v>27</v>
      </c>
      <c r="B37" s="196">
        <f>IF(A37&lt;='Dados de Entrada'!$N$3,'Aoki-Velloso'!J35,0)</f>
        <v>0</v>
      </c>
      <c r="C37" s="197">
        <f>IF(A37&lt;='Dados de Entrada'!$N$3,'Décourt-Quaresma'!I38,0)</f>
        <v>0</v>
      </c>
      <c r="D37" s="198">
        <f>IF(A37&lt;='Dados de Entrada'!$N$3,Teixeira!J36,0)</f>
        <v>0</v>
      </c>
      <c r="E37" s="194">
        <f t="shared" si="0"/>
        <v>0</v>
      </c>
    </row>
    <row r="38" spans="1:5" ht="15">
      <c r="A38" s="154">
        <v>28</v>
      </c>
      <c r="B38" s="196">
        <f>IF(A38&lt;='Dados de Entrada'!$N$3,'Aoki-Velloso'!J36,0)</f>
        <v>0</v>
      </c>
      <c r="C38" s="197">
        <f>IF(A38&lt;='Dados de Entrada'!$N$3,'Décourt-Quaresma'!I39,0)</f>
        <v>0</v>
      </c>
      <c r="D38" s="198">
        <f>IF(A38&lt;='Dados de Entrada'!$N$3,Teixeira!J37,0)</f>
        <v>0</v>
      </c>
      <c r="E38" s="194">
        <f t="shared" si="0"/>
        <v>0</v>
      </c>
    </row>
    <row r="39" spans="1:5" ht="15">
      <c r="A39" s="154">
        <v>29</v>
      </c>
      <c r="B39" s="196">
        <f>IF(A39&lt;='Dados de Entrada'!$N$3,'Aoki-Velloso'!J37,0)</f>
        <v>0</v>
      </c>
      <c r="C39" s="197">
        <f>IF(A39&lt;='Dados de Entrada'!$N$3,'Décourt-Quaresma'!I40,0)</f>
        <v>0</v>
      </c>
      <c r="D39" s="198">
        <f>IF(A39&lt;='Dados de Entrada'!$N$3,Teixeira!J38,0)</f>
        <v>0</v>
      </c>
      <c r="E39" s="194">
        <f t="shared" si="0"/>
        <v>0</v>
      </c>
    </row>
    <row r="40" spans="1:5" ht="15">
      <c r="A40" s="154">
        <v>30</v>
      </c>
      <c r="B40" s="196">
        <f>IF(A40&lt;='Dados de Entrada'!$N$3,'Aoki-Velloso'!J38,0)</f>
        <v>0</v>
      </c>
      <c r="C40" s="197">
        <f>IF(A40&lt;='Dados de Entrada'!$N$3,'Décourt-Quaresma'!I41,0)</f>
        <v>0</v>
      </c>
      <c r="D40" s="198">
        <f>IF(A40&lt;='Dados de Entrada'!$N$3,Teixeira!J39,0)</f>
        <v>0</v>
      </c>
      <c r="E40" s="194">
        <f t="shared" si="0"/>
        <v>0</v>
      </c>
    </row>
    <row r="41" spans="1:5" ht="15">
      <c r="A41" s="154">
        <v>31</v>
      </c>
      <c r="B41" s="196">
        <f>IF(A41&lt;='Dados de Entrada'!$N$3,'Aoki-Velloso'!J39,0)</f>
        <v>0</v>
      </c>
      <c r="C41" s="197">
        <f>IF(A41&lt;='Dados de Entrada'!$N$3,'Décourt-Quaresma'!I42,0)</f>
        <v>0</v>
      </c>
      <c r="D41" s="198">
        <f>IF(A41&lt;='Dados de Entrada'!$N$3,Teixeira!J40,0)</f>
        <v>0</v>
      </c>
      <c r="E41" s="194">
        <f t="shared" si="0"/>
        <v>0</v>
      </c>
    </row>
    <row r="42" spans="1:5" ht="15">
      <c r="A42" s="154">
        <v>32</v>
      </c>
      <c r="B42" s="196">
        <f>IF(A42&lt;='Dados de Entrada'!$N$3,'Aoki-Velloso'!J40,0)</f>
        <v>0</v>
      </c>
      <c r="C42" s="197">
        <f>IF(A42&lt;='Dados de Entrada'!$N$3,'Décourt-Quaresma'!I43,0)</f>
        <v>0</v>
      </c>
      <c r="D42" s="198">
        <f>IF(A42&lt;='Dados de Entrada'!$N$3,Teixeira!J41,0)</f>
        <v>0</v>
      </c>
      <c r="E42" s="194">
        <f t="shared" si="0"/>
        <v>0</v>
      </c>
    </row>
    <row r="43" spans="1:5" ht="15">
      <c r="A43" s="154">
        <v>33</v>
      </c>
      <c r="B43" s="196">
        <f>IF(A43&lt;='Dados de Entrada'!$N$3,'Aoki-Velloso'!J41,0)</f>
        <v>0</v>
      </c>
      <c r="C43" s="197">
        <f>IF(A43&lt;='Dados de Entrada'!$N$3,'Décourt-Quaresma'!I44,0)</f>
        <v>0</v>
      </c>
      <c r="D43" s="198">
        <f>IF(A43&lt;='Dados de Entrada'!$N$3,Teixeira!J42,0)</f>
        <v>0</v>
      </c>
      <c r="E43" s="194">
        <f t="shared" si="0"/>
        <v>0</v>
      </c>
    </row>
    <row r="44" spans="1:5" ht="15">
      <c r="A44" s="154">
        <v>34</v>
      </c>
      <c r="B44" s="196">
        <f>IF(A44&lt;='Dados de Entrada'!$N$3,'Aoki-Velloso'!J42,0)</f>
        <v>0</v>
      </c>
      <c r="C44" s="197">
        <f>IF(A44&lt;='Dados de Entrada'!$N$3,'Décourt-Quaresma'!I45,0)</f>
        <v>0</v>
      </c>
      <c r="D44" s="198">
        <f>IF(A44&lt;='Dados de Entrada'!$N$3,Teixeira!J43,0)</f>
        <v>0</v>
      </c>
      <c r="E44" s="194">
        <f t="shared" si="0"/>
        <v>0</v>
      </c>
    </row>
    <row r="45" spans="1:5" ht="15">
      <c r="A45" s="154">
        <v>35</v>
      </c>
      <c r="B45" s="196">
        <f>IF(A45&lt;='Dados de Entrada'!$N$3,'Aoki-Velloso'!J43,0)</f>
        <v>0</v>
      </c>
      <c r="C45" s="197">
        <f>IF(A45&lt;='Dados de Entrada'!$N$3,'Décourt-Quaresma'!I46,0)</f>
        <v>0</v>
      </c>
      <c r="D45" s="198">
        <f>IF(A45&lt;='Dados de Entrada'!$N$3,Teixeira!J44,0)</f>
        <v>0</v>
      </c>
      <c r="E45" s="194">
        <f t="shared" si="0"/>
        <v>0</v>
      </c>
    </row>
    <row r="46" spans="1:5" ht="15">
      <c r="A46" s="154">
        <v>36</v>
      </c>
      <c r="B46" s="196">
        <f>IF(A46&lt;='Dados de Entrada'!$N$3,'Aoki-Velloso'!J44,0)</f>
        <v>0</v>
      </c>
      <c r="C46" s="197">
        <f>IF(A46&lt;='Dados de Entrada'!$N$3,'Décourt-Quaresma'!I47,0)</f>
        <v>0</v>
      </c>
      <c r="D46" s="198">
        <f>IF(A46&lt;='Dados de Entrada'!$N$3,Teixeira!J45,0)</f>
        <v>0</v>
      </c>
      <c r="E46" s="194">
        <f t="shared" si="0"/>
        <v>0</v>
      </c>
    </row>
    <row r="47" spans="1:5" ht="15">
      <c r="A47" s="154">
        <v>37</v>
      </c>
      <c r="B47" s="196">
        <f>IF(A47&lt;='Dados de Entrada'!$N$3,'Aoki-Velloso'!J45,0)</f>
        <v>0</v>
      </c>
      <c r="C47" s="197">
        <f>IF(A47&lt;='Dados de Entrada'!$N$3,'Décourt-Quaresma'!I48,0)</f>
        <v>0</v>
      </c>
      <c r="D47" s="198">
        <f>IF(A47&lt;='Dados de Entrada'!$N$3,Teixeira!J46,0)</f>
        <v>0</v>
      </c>
      <c r="E47" s="194">
        <f t="shared" si="0"/>
        <v>0</v>
      </c>
    </row>
    <row r="48" spans="1:5" ht="15">
      <c r="A48" s="154">
        <v>38</v>
      </c>
      <c r="B48" s="196">
        <f>IF(A48&lt;='Dados de Entrada'!$N$3,'Aoki-Velloso'!J46,0)</f>
        <v>0</v>
      </c>
      <c r="C48" s="197">
        <f>IF(A48&lt;='Dados de Entrada'!$N$3,'Décourt-Quaresma'!I49,0)</f>
        <v>0</v>
      </c>
      <c r="D48" s="198">
        <f>IF(A48&lt;='Dados de Entrada'!$N$3,Teixeira!J47,0)</f>
        <v>0</v>
      </c>
      <c r="E48" s="194">
        <f t="shared" si="0"/>
        <v>0</v>
      </c>
    </row>
    <row r="49" spans="1:5" ht="15">
      <c r="A49" s="154">
        <v>39</v>
      </c>
      <c r="B49" s="196">
        <f>IF(A49&lt;='Dados de Entrada'!$N$3,'Aoki-Velloso'!J47,0)</f>
        <v>0</v>
      </c>
      <c r="C49" s="197">
        <f>IF(A49&lt;='Dados de Entrada'!$N$3,'Décourt-Quaresma'!I50,0)</f>
        <v>0</v>
      </c>
      <c r="D49" s="198">
        <f>IF(A49&lt;='Dados de Entrada'!$N$3,Teixeira!J48,0)</f>
        <v>0</v>
      </c>
      <c r="E49" s="194">
        <f t="shared" si="0"/>
        <v>0</v>
      </c>
    </row>
    <row r="50" spans="1:5" ht="15.75" thickBot="1">
      <c r="A50" s="157">
        <v>40</v>
      </c>
      <c r="B50" s="208">
        <f>IF(A50&lt;='Dados de Entrada'!$N$3,'Aoki-Velloso'!J48,0)</f>
        <v>0</v>
      </c>
      <c r="C50" s="209">
        <f>IF(A50&lt;='Dados de Entrada'!$N$3,'Décourt-Quaresma'!I51,0)</f>
        <v>0</v>
      </c>
      <c r="D50" s="210">
        <f>IF(A50&lt;='Dados de Entrada'!$N$3,Teixeira!J49,0)</f>
        <v>0</v>
      </c>
      <c r="E50" s="195">
        <f t="shared" si="0"/>
        <v>0</v>
      </c>
    </row>
    <row r="51" spans="1:6" ht="15">
      <c r="A51" s="160"/>
      <c r="B51" s="160"/>
      <c r="C51" s="161"/>
      <c r="D51" s="161"/>
      <c r="E51" s="161"/>
      <c r="F51" s="161"/>
    </row>
  </sheetData>
  <sheetProtection selectLockedCells="1" selectUnlockedCells="1"/>
  <mergeCells count="5">
    <mergeCell ref="A8:E8"/>
    <mergeCell ref="B2:C2"/>
    <mergeCell ref="B3:C3"/>
    <mergeCell ref="A1:E1"/>
    <mergeCell ref="A4:E4"/>
  </mergeCells>
  <printOptions/>
  <pageMargins left="0.511811024" right="0.511811024" top="0.787401575" bottom="0.787401575" header="0.31496062" footer="0.31496062"/>
  <pageSetup horizontalDpi="300" verticalDpi="300" orientation="portrait" paperSize="9" r:id="rId2"/>
  <headerFooter>
    <oddHeader xml:space="preserve">&amp;C&amp;"-,Negrito itálico"&amp;16Relatório Final </oddHeader>
  </headerFooter>
  <drawing r:id="rId1"/>
</worksheet>
</file>

<file path=xl/worksheets/sheet8.xml><?xml version="1.0" encoding="utf-8"?>
<worksheet xmlns="http://schemas.openxmlformats.org/spreadsheetml/2006/main" xmlns:r="http://schemas.openxmlformats.org/officeDocument/2006/relationships">
  <sheetPr codeName="Plan6"/>
  <dimension ref="A1:AD45"/>
  <sheetViews>
    <sheetView showGridLines="0" showRowColHeaders="0"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24.7109375" style="0" customWidth="1"/>
    <col min="2" max="2" width="14.7109375" style="0" customWidth="1"/>
    <col min="3" max="3" width="17.7109375" style="0" customWidth="1"/>
    <col min="4" max="4" width="1.7109375" style="0" customWidth="1"/>
    <col min="5" max="5" width="24.7109375" style="0" customWidth="1"/>
    <col min="6" max="6" width="14.57421875" style="0" customWidth="1"/>
    <col min="7" max="7" width="17.57421875" style="0" customWidth="1"/>
    <col min="8" max="8" width="1.7109375" style="0" customWidth="1"/>
    <col min="9" max="10" width="15.7109375" style="0" customWidth="1"/>
    <col min="11" max="11" width="19.421875" style="0" customWidth="1"/>
    <col min="12" max="13" width="21.140625" style="0" customWidth="1"/>
    <col min="14" max="14" width="1.7109375" style="0" customWidth="1"/>
    <col min="15" max="15" width="19.421875" style="0" customWidth="1"/>
    <col min="16" max="16" width="15.28125" style="0" customWidth="1"/>
    <col min="17" max="17" width="19.28125" style="0" customWidth="1"/>
    <col min="18" max="18" width="2.00390625" style="0" customWidth="1"/>
    <col min="19" max="19" width="29.421875" style="0" customWidth="1"/>
    <col min="20" max="20" width="10.28125" style="0" customWidth="1"/>
    <col min="22" max="22" width="1.7109375" style="0" customWidth="1"/>
    <col min="23" max="23" width="19.28125" style="0" customWidth="1"/>
    <col min="24" max="24" width="17.421875" style="0" customWidth="1"/>
    <col min="25" max="25" width="18.57421875" style="0" customWidth="1"/>
    <col min="26" max="26" width="16.28125" style="0" customWidth="1"/>
  </cols>
  <sheetData>
    <row r="1" spans="1:17" ht="21.75" thickBot="1">
      <c r="A1" s="476" t="s">
        <v>151</v>
      </c>
      <c r="B1" s="477"/>
      <c r="C1" s="477"/>
      <c r="D1" s="477"/>
      <c r="E1" s="477"/>
      <c r="F1" s="477"/>
      <c r="G1" s="477"/>
      <c r="H1" s="477"/>
      <c r="I1" s="477"/>
      <c r="J1" s="477"/>
      <c r="K1" s="477"/>
      <c r="L1" s="477"/>
      <c r="M1" s="477"/>
      <c r="N1" s="477"/>
      <c r="O1" s="477"/>
      <c r="P1" s="477"/>
      <c r="Q1" s="477"/>
    </row>
    <row r="2" spans="1:17" ht="19.5" thickBot="1">
      <c r="A2" s="488" t="s">
        <v>48</v>
      </c>
      <c r="B2" s="489"/>
      <c r="C2" s="490"/>
      <c r="D2" s="6"/>
      <c r="E2" s="485" t="s">
        <v>31</v>
      </c>
      <c r="F2" s="486"/>
      <c r="G2" s="487"/>
      <c r="I2" s="473" t="s">
        <v>147</v>
      </c>
      <c r="J2" s="474"/>
      <c r="K2" s="474"/>
      <c r="L2" s="474"/>
      <c r="M2" s="475"/>
      <c r="O2" s="481" t="s">
        <v>146</v>
      </c>
      <c r="P2" s="482"/>
      <c r="Q2" s="483"/>
    </row>
    <row r="3" spans="1:30" ht="15.75" thickBot="1">
      <c r="A3" s="27" t="s">
        <v>32</v>
      </c>
      <c r="B3" s="25" t="s">
        <v>29</v>
      </c>
      <c r="C3" s="26" t="s">
        <v>228</v>
      </c>
      <c r="D3" s="6"/>
      <c r="E3" s="24" t="s">
        <v>32</v>
      </c>
      <c r="F3" s="25" t="s">
        <v>29</v>
      </c>
      <c r="G3" s="26" t="s">
        <v>228</v>
      </c>
      <c r="I3" s="24" t="s">
        <v>143</v>
      </c>
      <c r="J3" s="25" t="s">
        <v>144</v>
      </c>
      <c r="K3" s="26" t="s">
        <v>145</v>
      </c>
      <c r="L3" s="64" t="s">
        <v>149</v>
      </c>
      <c r="M3" s="64" t="s">
        <v>150</v>
      </c>
      <c r="O3" s="45" t="s">
        <v>32</v>
      </c>
      <c r="P3" s="46" t="s">
        <v>29</v>
      </c>
      <c r="Q3" s="26" t="s">
        <v>228</v>
      </c>
      <c r="AC3" s="28"/>
      <c r="AD3" s="28"/>
    </row>
    <row r="4" ht="0.75" customHeight="1" thickBot="1"/>
    <row r="5" spans="1:17" ht="15">
      <c r="A5" s="478" t="s">
        <v>229</v>
      </c>
      <c r="B5" s="9" t="s">
        <v>44</v>
      </c>
      <c r="C5" s="18">
        <v>200</v>
      </c>
      <c r="D5" s="6"/>
      <c r="E5" s="468" t="s">
        <v>236</v>
      </c>
      <c r="F5" s="9" t="s">
        <v>33</v>
      </c>
      <c r="G5" s="10">
        <v>300</v>
      </c>
      <c r="I5" s="468" t="s">
        <v>239</v>
      </c>
      <c r="J5" s="49" t="s">
        <v>128</v>
      </c>
      <c r="K5" s="54">
        <v>200</v>
      </c>
      <c r="L5" s="66">
        <v>31.4</v>
      </c>
      <c r="M5" s="60">
        <v>38</v>
      </c>
      <c r="O5" s="478" t="s">
        <v>240</v>
      </c>
      <c r="P5" s="9" t="s">
        <v>36</v>
      </c>
      <c r="Q5" s="10">
        <v>150</v>
      </c>
    </row>
    <row r="6" spans="1:17" ht="15">
      <c r="A6" s="479"/>
      <c r="B6" s="15" t="s">
        <v>49</v>
      </c>
      <c r="C6" s="19">
        <v>300</v>
      </c>
      <c r="D6" s="6"/>
      <c r="E6" s="469"/>
      <c r="F6" s="11" t="s">
        <v>34</v>
      </c>
      <c r="G6" s="12">
        <v>500</v>
      </c>
      <c r="I6" s="469"/>
      <c r="J6" s="11" t="s">
        <v>129</v>
      </c>
      <c r="K6" s="55">
        <v>250</v>
      </c>
      <c r="L6" s="67">
        <v>40.9</v>
      </c>
      <c r="M6" s="61">
        <v>41</v>
      </c>
      <c r="O6" s="479"/>
      <c r="P6" s="11" t="s">
        <v>44</v>
      </c>
      <c r="Q6" s="12">
        <v>200</v>
      </c>
    </row>
    <row r="7" spans="1:17" ht="15.75" thickBot="1">
      <c r="A7" s="479"/>
      <c r="B7" s="15" t="s">
        <v>39</v>
      </c>
      <c r="C7" s="19">
        <v>450</v>
      </c>
      <c r="D7" s="6"/>
      <c r="E7" s="484"/>
      <c r="F7" s="13" t="s">
        <v>35</v>
      </c>
      <c r="G7" s="14">
        <v>700</v>
      </c>
      <c r="I7" s="469"/>
      <c r="J7" s="11" t="s">
        <v>130</v>
      </c>
      <c r="K7" s="55">
        <v>300</v>
      </c>
      <c r="L7" s="67">
        <v>47.3</v>
      </c>
      <c r="M7" s="61">
        <v>44</v>
      </c>
      <c r="O7" s="479"/>
      <c r="P7" s="11" t="s">
        <v>45</v>
      </c>
      <c r="Q7" s="12">
        <v>300</v>
      </c>
    </row>
    <row r="8" spans="1:17" ht="15">
      <c r="A8" s="479"/>
      <c r="B8" s="15" t="s">
        <v>40</v>
      </c>
      <c r="C8" s="19">
        <v>550</v>
      </c>
      <c r="D8" s="6"/>
      <c r="E8" s="468" t="s">
        <v>237</v>
      </c>
      <c r="F8" s="9" t="s">
        <v>36</v>
      </c>
      <c r="G8" s="10">
        <v>250</v>
      </c>
      <c r="I8" s="469"/>
      <c r="J8" s="11" t="s">
        <v>131</v>
      </c>
      <c r="K8" s="55">
        <v>350</v>
      </c>
      <c r="L8" s="67">
        <v>56.8</v>
      </c>
      <c r="M8" s="61">
        <v>49</v>
      </c>
      <c r="O8" s="479"/>
      <c r="P8" s="11" t="s">
        <v>46</v>
      </c>
      <c r="Q8" s="47">
        <v>400</v>
      </c>
    </row>
    <row r="9" spans="1:17" ht="15.75" thickBot="1">
      <c r="A9" s="480"/>
      <c r="B9" s="16" t="s">
        <v>50</v>
      </c>
      <c r="C9" s="20">
        <v>650</v>
      </c>
      <c r="D9" s="6"/>
      <c r="E9" s="469"/>
      <c r="F9" s="15" t="s">
        <v>37</v>
      </c>
      <c r="G9" s="12">
        <v>300</v>
      </c>
      <c r="I9" s="469"/>
      <c r="J9" s="11" t="s">
        <v>132</v>
      </c>
      <c r="K9" s="55">
        <v>400</v>
      </c>
      <c r="L9" s="67">
        <v>64.2</v>
      </c>
      <c r="M9" s="61">
        <v>52</v>
      </c>
      <c r="O9" s="480"/>
      <c r="P9" s="13" t="s">
        <v>47</v>
      </c>
      <c r="Q9" s="48">
        <v>500</v>
      </c>
    </row>
    <row r="10" spans="1:13" ht="15.75" customHeight="1">
      <c r="A10" s="478" t="s">
        <v>230</v>
      </c>
      <c r="B10" s="9" t="s">
        <v>44</v>
      </c>
      <c r="C10" s="18">
        <v>200</v>
      </c>
      <c r="D10" s="6"/>
      <c r="E10" s="469"/>
      <c r="F10" s="15" t="s">
        <v>38</v>
      </c>
      <c r="G10" s="12">
        <v>400</v>
      </c>
      <c r="I10" s="469"/>
      <c r="J10" s="11" t="s">
        <v>133</v>
      </c>
      <c r="K10" s="55">
        <v>500</v>
      </c>
      <c r="L10" s="67">
        <v>81.8</v>
      </c>
      <c r="M10" s="61"/>
    </row>
    <row r="11" spans="1:13" ht="15">
      <c r="A11" s="479"/>
      <c r="B11" s="15" t="s">
        <v>45</v>
      </c>
      <c r="C11" s="19">
        <v>300</v>
      </c>
      <c r="D11" s="6"/>
      <c r="E11" s="469"/>
      <c r="F11" s="15" t="s">
        <v>35</v>
      </c>
      <c r="G11" s="12">
        <v>600</v>
      </c>
      <c r="I11" s="469"/>
      <c r="J11" s="11" t="s">
        <v>134</v>
      </c>
      <c r="K11" s="55">
        <v>600</v>
      </c>
      <c r="L11" s="67">
        <v>94.6</v>
      </c>
      <c r="M11" s="61"/>
    </row>
    <row r="12" spans="1:13" ht="15">
      <c r="A12" s="479"/>
      <c r="B12" s="15" t="s">
        <v>46</v>
      </c>
      <c r="C12" s="19">
        <v>400</v>
      </c>
      <c r="D12" s="6"/>
      <c r="E12" s="469"/>
      <c r="F12" s="15" t="s">
        <v>39</v>
      </c>
      <c r="G12" s="12">
        <v>750</v>
      </c>
      <c r="I12" s="469"/>
      <c r="J12" s="11" t="s">
        <v>135</v>
      </c>
      <c r="K12" s="55">
        <v>750</v>
      </c>
      <c r="L12" s="67">
        <v>122.7</v>
      </c>
      <c r="M12" s="61"/>
    </row>
    <row r="13" spans="1:30" ht="15.75" thickBot="1">
      <c r="A13" s="479"/>
      <c r="B13" s="15" t="s">
        <v>47</v>
      </c>
      <c r="C13" s="19">
        <v>500</v>
      </c>
      <c r="D13" s="6"/>
      <c r="E13" s="469"/>
      <c r="F13" s="15" t="s">
        <v>40</v>
      </c>
      <c r="G13" s="12">
        <v>900</v>
      </c>
      <c r="I13" s="469"/>
      <c r="J13" s="50" t="s">
        <v>136</v>
      </c>
      <c r="K13" s="56">
        <v>900</v>
      </c>
      <c r="L13" s="68">
        <v>141.9</v>
      </c>
      <c r="M13" s="72"/>
      <c r="AC13" s="28"/>
      <c r="AD13" s="28"/>
    </row>
    <row r="14" spans="1:13" ht="15">
      <c r="A14" s="479"/>
      <c r="B14" s="15" t="s">
        <v>50</v>
      </c>
      <c r="C14" s="19">
        <v>650</v>
      </c>
      <c r="D14" s="6"/>
      <c r="E14" s="469"/>
      <c r="F14" s="15" t="s">
        <v>41</v>
      </c>
      <c r="G14" s="12">
        <v>1300</v>
      </c>
      <c r="I14" s="470" t="s">
        <v>148</v>
      </c>
      <c r="J14" s="52" t="s">
        <v>137</v>
      </c>
      <c r="K14" s="57">
        <v>400</v>
      </c>
      <c r="L14" s="69"/>
      <c r="M14" s="65"/>
    </row>
    <row r="15" spans="1:13" ht="15.75" thickBot="1">
      <c r="A15" s="480"/>
      <c r="B15" s="16" t="s">
        <v>41</v>
      </c>
      <c r="C15" s="20">
        <v>800</v>
      </c>
      <c r="D15" s="6"/>
      <c r="E15" s="469"/>
      <c r="F15" s="15" t="s">
        <v>42</v>
      </c>
      <c r="G15" s="12">
        <v>1700</v>
      </c>
      <c r="I15" s="471"/>
      <c r="J15" s="51" t="s">
        <v>138</v>
      </c>
      <c r="K15" s="58">
        <v>300</v>
      </c>
      <c r="L15" s="70"/>
      <c r="M15" s="62"/>
    </row>
    <row r="16" spans="1:13" ht="15.75" thickBot="1">
      <c r="A16" s="478" t="s">
        <v>231</v>
      </c>
      <c r="B16" s="9" t="s">
        <v>42</v>
      </c>
      <c r="C16" s="18">
        <v>1100</v>
      </c>
      <c r="D16" s="6"/>
      <c r="E16" s="484"/>
      <c r="F16" s="16" t="s">
        <v>43</v>
      </c>
      <c r="G16" s="14">
        <v>2300</v>
      </c>
      <c r="I16" s="471"/>
      <c r="J16" s="51" t="s">
        <v>139</v>
      </c>
      <c r="K16" s="58">
        <v>400</v>
      </c>
      <c r="L16" s="70"/>
      <c r="M16" s="62"/>
    </row>
    <row r="17" spans="1:13" ht="15">
      <c r="A17" s="479"/>
      <c r="B17" s="15" t="s">
        <v>51</v>
      </c>
      <c r="C17" s="19">
        <v>2000</v>
      </c>
      <c r="D17" s="6"/>
      <c r="E17" s="468" t="s">
        <v>238</v>
      </c>
      <c r="F17" s="9" t="s">
        <v>36</v>
      </c>
      <c r="G17" s="10">
        <v>150</v>
      </c>
      <c r="I17" s="471"/>
      <c r="J17" s="51" t="s">
        <v>140</v>
      </c>
      <c r="K17" s="58">
        <v>600</v>
      </c>
      <c r="L17" s="70"/>
      <c r="M17" s="62"/>
    </row>
    <row r="18" spans="1:13" ht="15">
      <c r="A18" s="479"/>
      <c r="B18" s="15" t="s">
        <v>52</v>
      </c>
      <c r="C18" s="19">
        <v>3000</v>
      </c>
      <c r="D18" s="6"/>
      <c r="E18" s="469"/>
      <c r="F18" s="15" t="s">
        <v>44</v>
      </c>
      <c r="G18" s="12">
        <v>200</v>
      </c>
      <c r="I18" s="471"/>
      <c r="J18" s="51" t="s">
        <v>141</v>
      </c>
      <c r="K18" s="58">
        <v>800</v>
      </c>
      <c r="L18" s="70"/>
      <c r="M18" s="62"/>
    </row>
    <row r="19" spans="1:13" ht="15.75" thickBot="1">
      <c r="A19" s="479"/>
      <c r="B19" s="15" t="s">
        <v>53</v>
      </c>
      <c r="C19" s="19">
        <v>4500</v>
      </c>
      <c r="D19" s="6"/>
      <c r="E19" s="469"/>
      <c r="F19" s="15" t="s">
        <v>45</v>
      </c>
      <c r="G19" s="12">
        <v>300</v>
      </c>
      <c r="I19" s="472"/>
      <c r="J19" s="53" t="s">
        <v>142</v>
      </c>
      <c r="K19" s="59">
        <v>1200</v>
      </c>
      <c r="L19" s="71"/>
      <c r="M19" s="63"/>
    </row>
    <row r="20" spans="1:7" ht="15">
      <c r="A20" s="479"/>
      <c r="B20" s="15" t="s">
        <v>54</v>
      </c>
      <c r="C20" s="19">
        <v>6000</v>
      </c>
      <c r="D20" s="6"/>
      <c r="E20" s="469"/>
      <c r="F20" s="15" t="s">
        <v>46</v>
      </c>
      <c r="G20" s="12">
        <v>400</v>
      </c>
    </row>
    <row r="21" spans="1:7" ht="15.75" thickBot="1">
      <c r="A21" s="479"/>
      <c r="B21" s="15" t="s">
        <v>55</v>
      </c>
      <c r="C21" s="19">
        <v>8000</v>
      </c>
      <c r="D21" s="6"/>
      <c r="E21" s="484"/>
      <c r="F21" s="16" t="s">
        <v>47</v>
      </c>
      <c r="G21" s="14">
        <v>500</v>
      </c>
    </row>
    <row r="22" spans="1:4" ht="15">
      <c r="A22" s="479"/>
      <c r="B22" s="15" t="s">
        <v>56</v>
      </c>
      <c r="C22" s="19">
        <v>10000</v>
      </c>
      <c r="D22" s="6"/>
    </row>
    <row r="23" spans="1:4" ht="15.75" thickBot="1">
      <c r="A23" s="480"/>
      <c r="B23" s="16" t="s">
        <v>57</v>
      </c>
      <c r="C23" s="20">
        <v>12500</v>
      </c>
      <c r="D23" s="6"/>
    </row>
    <row r="24" spans="1:4" ht="15">
      <c r="A24" s="468" t="s">
        <v>232</v>
      </c>
      <c r="B24" s="9" t="s">
        <v>36</v>
      </c>
      <c r="C24" s="18">
        <v>120</v>
      </c>
      <c r="D24" s="6"/>
    </row>
    <row r="25" spans="1:3" ht="15.75" thickBot="1">
      <c r="A25" s="484"/>
      <c r="B25" s="16" t="s">
        <v>44</v>
      </c>
      <c r="C25" s="20">
        <v>200</v>
      </c>
    </row>
    <row r="26" spans="1:3" ht="15">
      <c r="A26" s="478" t="s">
        <v>233</v>
      </c>
      <c r="B26" s="9" t="s">
        <v>46</v>
      </c>
      <c r="C26" s="21">
        <v>600</v>
      </c>
    </row>
    <row r="27" spans="1:3" ht="15">
      <c r="A27" s="479"/>
      <c r="B27" s="15" t="s">
        <v>47</v>
      </c>
      <c r="C27" s="22">
        <v>750</v>
      </c>
    </row>
    <row r="28" spans="1:3" ht="15">
      <c r="A28" s="479"/>
      <c r="B28" s="15" t="s">
        <v>50</v>
      </c>
      <c r="C28" s="22">
        <v>950</v>
      </c>
    </row>
    <row r="29" spans="1:3" ht="15">
      <c r="A29" s="479"/>
      <c r="B29" s="15" t="s">
        <v>64</v>
      </c>
      <c r="C29" s="22">
        <v>1300</v>
      </c>
    </row>
    <row r="30" spans="1:3" ht="15.75" thickBot="1">
      <c r="A30" s="480"/>
      <c r="B30" s="16" t="s">
        <v>42</v>
      </c>
      <c r="C30" s="23">
        <v>1700</v>
      </c>
    </row>
    <row r="31" spans="1:3" ht="15">
      <c r="A31" s="478" t="s">
        <v>234</v>
      </c>
      <c r="B31" s="9" t="s">
        <v>67</v>
      </c>
      <c r="C31" s="21">
        <v>100</v>
      </c>
    </row>
    <row r="32" spans="1:3" ht="15">
      <c r="A32" s="479"/>
      <c r="B32" s="15" t="s">
        <v>69</v>
      </c>
      <c r="C32" s="22">
        <v>100</v>
      </c>
    </row>
    <row r="33" spans="1:3" ht="15">
      <c r="A33" s="479"/>
      <c r="B33" s="15" t="s">
        <v>71</v>
      </c>
      <c r="C33" s="22">
        <v>150</v>
      </c>
    </row>
    <row r="34" spans="1:3" ht="15">
      <c r="A34" s="479"/>
      <c r="B34" s="15" t="s">
        <v>36</v>
      </c>
      <c r="C34" s="22">
        <v>250</v>
      </c>
    </row>
    <row r="35" spans="1:3" ht="15">
      <c r="A35" s="479"/>
      <c r="B35" s="15" t="s">
        <v>44</v>
      </c>
      <c r="C35" s="22">
        <v>400</v>
      </c>
    </row>
    <row r="36" spans="1:3" ht="15.75" thickBot="1">
      <c r="A36" s="480"/>
      <c r="B36" s="16" t="s">
        <v>72</v>
      </c>
      <c r="C36" s="23">
        <v>600</v>
      </c>
    </row>
    <row r="37" spans="1:3" ht="15">
      <c r="A37" s="468" t="s">
        <v>235</v>
      </c>
      <c r="B37" s="9" t="s">
        <v>73</v>
      </c>
      <c r="C37" s="21">
        <v>250</v>
      </c>
    </row>
    <row r="38" spans="1:3" ht="15">
      <c r="A38" s="469"/>
      <c r="B38" s="15" t="s">
        <v>46</v>
      </c>
      <c r="C38" s="22">
        <v>400</v>
      </c>
    </row>
    <row r="39" spans="1:3" ht="15">
      <c r="A39" s="469"/>
      <c r="B39" s="15" t="s">
        <v>47</v>
      </c>
      <c r="C39" s="22">
        <v>500</v>
      </c>
    </row>
    <row r="40" spans="1:3" ht="15">
      <c r="A40" s="469"/>
      <c r="B40" s="15" t="s">
        <v>41</v>
      </c>
      <c r="C40" s="22">
        <v>800</v>
      </c>
    </row>
    <row r="41" spans="1:3" ht="15">
      <c r="A41" s="469"/>
      <c r="B41" s="15" t="s">
        <v>42</v>
      </c>
      <c r="C41" s="22">
        <v>1100</v>
      </c>
    </row>
    <row r="42" spans="1:3" ht="15">
      <c r="A42" s="469"/>
      <c r="B42" s="15" t="s">
        <v>43</v>
      </c>
      <c r="C42" s="22">
        <v>1550</v>
      </c>
    </row>
    <row r="43" spans="1:3" ht="15">
      <c r="A43" s="469"/>
      <c r="B43" s="15" t="s">
        <v>51</v>
      </c>
      <c r="C43" s="22">
        <v>2000</v>
      </c>
    </row>
    <row r="44" spans="1:3" ht="15">
      <c r="A44" s="469"/>
      <c r="B44" s="15" t="s">
        <v>74</v>
      </c>
      <c r="C44" s="22">
        <v>2550</v>
      </c>
    </row>
    <row r="45" spans="1:3" ht="15.75" thickBot="1">
      <c r="A45" s="484"/>
      <c r="B45" s="16" t="s">
        <v>52</v>
      </c>
      <c r="C45" s="23">
        <v>3150</v>
      </c>
    </row>
  </sheetData>
  <sheetProtection selectLockedCells="1" selectUnlockedCells="1"/>
  <mergeCells count="18">
    <mergeCell ref="A37:A45"/>
    <mergeCell ref="E2:G2"/>
    <mergeCell ref="E5:E7"/>
    <mergeCell ref="E8:E16"/>
    <mergeCell ref="E17:E21"/>
    <mergeCell ref="A2:C2"/>
    <mergeCell ref="A5:A9"/>
    <mergeCell ref="A10:A15"/>
    <mergeCell ref="A16:A23"/>
    <mergeCell ref="A24:A25"/>
    <mergeCell ref="A26:A30"/>
    <mergeCell ref="I5:I13"/>
    <mergeCell ref="I14:I19"/>
    <mergeCell ref="I2:M2"/>
    <mergeCell ref="A1:Q1"/>
    <mergeCell ref="A31:A36"/>
    <mergeCell ref="O2:Q2"/>
    <mergeCell ref="O5:O9"/>
  </mergeCells>
  <printOptions/>
  <pageMargins left="0.511811024" right="0.511811024" top="0.787401575" bottom="0.787401575" header="0.31496062" footer="0.31496062"/>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Plan8"/>
  <dimension ref="A1:AA36"/>
  <sheetViews>
    <sheetView showGridLines="0" showRowColHeaders="0" zoomScalePageLayoutView="0" workbookViewId="0" topLeftCell="A1">
      <pane ySplit="1" topLeftCell="A2" activePane="bottomLeft" state="frozen"/>
      <selection pane="topLeft" activeCell="A1" sqref="A1"/>
      <selection pane="bottomLeft" activeCell="P25" sqref="P25"/>
    </sheetView>
  </sheetViews>
  <sheetFormatPr defaultColWidth="9.140625" defaultRowHeight="15"/>
  <cols>
    <col min="1" max="1" width="20.7109375" style="0" customWidth="1"/>
    <col min="4" max="4" width="2.00390625" style="0" customWidth="1"/>
    <col min="5" max="5" width="29.28125" style="0" customWidth="1"/>
    <col min="8" max="8" width="2.7109375" style="0" customWidth="1"/>
    <col min="9" max="9" width="20.8515625" style="0" customWidth="1"/>
    <col min="10" max="10" width="17.8515625" style="0" customWidth="1"/>
    <col min="11" max="11" width="19.28125" style="0" customWidth="1"/>
    <col min="12" max="12" width="17.421875" style="0" customWidth="1"/>
    <col min="15" max="15" width="2.7109375" style="0" customWidth="1"/>
    <col min="16" max="16" width="23.00390625" style="0" customWidth="1"/>
    <col min="17" max="17" width="16.00390625" style="0" customWidth="1"/>
    <col min="18" max="18" width="15.57421875" style="0" customWidth="1"/>
    <col min="19" max="23" width="10.7109375" style="0" customWidth="1"/>
    <col min="24" max="24" width="11.28125" style="0" customWidth="1"/>
    <col min="25" max="26" width="10.7109375" style="0" customWidth="1"/>
    <col min="27" max="27" width="16.7109375" style="0" customWidth="1"/>
  </cols>
  <sheetData>
    <row r="1" spans="1:27" ht="21.75" thickBot="1">
      <c r="A1" s="494" t="s">
        <v>194</v>
      </c>
      <c r="B1" s="495"/>
      <c r="C1" s="495"/>
      <c r="D1" s="495"/>
      <c r="E1" s="495"/>
      <c r="F1" s="495"/>
      <c r="G1" s="496"/>
      <c r="I1" s="506" t="s">
        <v>193</v>
      </c>
      <c r="J1" s="507"/>
      <c r="K1" s="507"/>
      <c r="L1" s="507"/>
      <c r="M1" s="507"/>
      <c r="N1" s="508"/>
      <c r="P1" s="449" t="s">
        <v>192</v>
      </c>
      <c r="Q1" s="450"/>
      <c r="R1" s="450"/>
      <c r="S1" s="450"/>
      <c r="T1" s="450"/>
      <c r="U1" s="450"/>
      <c r="V1" s="450"/>
      <c r="W1" s="450"/>
      <c r="X1" s="450"/>
      <c r="Y1" s="450"/>
      <c r="Z1" s="450"/>
      <c r="AA1" s="451"/>
    </row>
    <row r="2" spans="1:27" ht="16.5" thickBot="1">
      <c r="A2" s="497" t="s">
        <v>87</v>
      </c>
      <c r="B2" s="498"/>
      <c r="C2" s="499"/>
      <c r="D2" s="76"/>
      <c r="E2" s="503" t="s">
        <v>81</v>
      </c>
      <c r="F2" s="504"/>
      <c r="G2" s="505"/>
      <c r="I2" s="514" t="s">
        <v>109</v>
      </c>
      <c r="J2" s="515"/>
      <c r="K2" s="515"/>
      <c r="L2" s="515"/>
      <c r="M2" s="515"/>
      <c r="N2" s="516"/>
      <c r="P2" s="519" t="s">
        <v>167</v>
      </c>
      <c r="Q2" s="520"/>
      <c r="R2" s="520"/>
      <c r="S2" s="520"/>
      <c r="T2" s="520"/>
      <c r="U2" s="520"/>
      <c r="V2" s="520"/>
      <c r="W2" s="520"/>
      <c r="X2" s="520"/>
      <c r="Y2" s="520"/>
      <c r="Z2" s="520"/>
      <c r="AA2" s="521"/>
    </row>
    <row r="3" spans="1:27" ht="16.5" thickBot="1">
      <c r="A3" s="85" t="s">
        <v>11</v>
      </c>
      <c r="B3" s="39" t="s">
        <v>12</v>
      </c>
      <c r="C3" s="89" t="s">
        <v>28</v>
      </c>
      <c r="D3" s="76"/>
      <c r="E3" s="94" t="s">
        <v>82</v>
      </c>
      <c r="F3" s="38" t="s">
        <v>83</v>
      </c>
      <c r="G3" s="86" t="s">
        <v>84</v>
      </c>
      <c r="I3" s="31" t="s">
        <v>105</v>
      </c>
      <c r="J3" s="81" t="s">
        <v>107</v>
      </c>
      <c r="K3" s="81" t="s">
        <v>108</v>
      </c>
      <c r="L3" s="81" t="s">
        <v>110</v>
      </c>
      <c r="M3" s="81" t="s">
        <v>68</v>
      </c>
      <c r="N3" s="82" t="s">
        <v>111</v>
      </c>
      <c r="P3" s="120" t="s">
        <v>164</v>
      </c>
      <c r="Q3" s="128" t="s">
        <v>173</v>
      </c>
      <c r="R3" s="128" t="s">
        <v>174</v>
      </c>
      <c r="S3" s="128" t="s">
        <v>175</v>
      </c>
      <c r="T3" s="129" t="s">
        <v>85</v>
      </c>
      <c r="U3" s="128" t="s">
        <v>176</v>
      </c>
      <c r="V3" s="128" t="s">
        <v>62</v>
      </c>
      <c r="W3" s="128" t="s">
        <v>177</v>
      </c>
      <c r="X3" s="128" t="s">
        <v>178</v>
      </c>
      <c r="Y3" s="128" t="s">
        <v>66</v>
      </c>
      <c r="Z3" s="128" t="s">
        <v>68</v>
      </c>
      <c r="AA3" s="130" t="s">
        <v>179</v>
      </c>
    </row>
    <row r="4" spans="1:27" ht="16.5" thickBot="1">
      <c r="A4" s="85" t="s">
        <v>13</v>
      </c>
      <c r="B4" s="29">
        <v>1</v>
      </c>
      <c r="C4" s="90">
        <v>1.4</v>
      </c>
      <c r="D4" s="76"/>
      <c r="E4" s="95" t="s">
        <v>66</v>
      </c>
      <c r="F4" s="30">
        <v>2.5</v>
      </c>
      <c r="G4" s="87">
        <f>2*F4</f>
        <v>5</v>
      </c>
      <c r="I4" s="32" t="s">
        <v>112</v>
      </c>
      <c r="J4" s="80">
        <v>0.85</v>
      </c>
      <c r="K4" s="80">
        <v>0.85</v>
      </c>
      <c r="L4" s="80">
        <v>0.3</v>
      </c>
      <c r="M4" s="80">
        <v>0.85</v>
      </c>
      <c r="N4" s="33">
        <v>1</v>
      </c>
      <c r="P4" s="107" t="s">
        <v>13</v>
      </c>
      <c r="Q4" s="124">
        <v>400</v>
      </c>
      <c r="R4" s="124">
        <v>400</v>
      </c>
      <c r="S4" s="124">
        <v>400</v>
      </c>
      <c r="T4" s="124">
        <v>400</v>
      </c>
      <c r="U4" s="124">
        <v>270</v>
      </c>
      <c r="V4" s="124">
        <v>270</v>
      </c>
      <c r="W4" s="124">
        <v>270</v>
      </c>
      <c r="X4" s="124">
        <v>340</v>
      </c>
      <c r="Y4" s="124">
        <v>340</v>
      </c>
      <c r="Z4" s="124">
        <v>260</v>
      </c>
      <c r="AA4" s="125">
        <v>270</v>
      </c>
    </row>
    <row r="5" spans="1:27" ht="15.75">
      <c r="A5" s="88" t="s">
        <v>14</v>
      </c>
      <c r="B5" s="29">
        <v>0.8</v>
      </c>
      <c r="C5" s="90">
        <v>2</v>
      </c>
      <c r="D5" s="76"/>
      <c r="E5" s="95" t="s">
        <v>85</v>
      </c>
      <c r="F5" s="30">
        <v>1.75</v>
      </c>
      <c r="G5" s="87">
        <f>2*F5</f>
        <v>3.5</v>
      </c>
      <c r="I5" s="32" t="s">
        <v>113</v>
      </c>
      <c r="J5" s="80">
        <v>0.6</v>
      </c>
      <c r="K5" s="80">
        <v>0.6</v>
      </c>
      <c r="L5" s="80">
        <v>0.3</v>
      </c>
      <c r="M5" s="80">
        <v>0.6</v>
      </c>
      <c r="N5" s="33">
        <v>1</v>
      </c>
      <c r="P5" s="112" t="s">
        <v>14</v>
      </c>
      <c r="Q5" s="123">
        <v>360</v>
      </c>
      <c r="R5" s="123">
        <v>360</v>
      </c>
      <c r="S5" s="123">
        <v>360</v>
      </c>
      <c r="T5" s="123">
        <v>360</v>
      </c>
      <c r="U5" s="123">
        <v>240</v>
      </c>
      <c r="V5" s="123">
        <v>240</v>
      </c>
      <c r="W5" s="123">
        <v>240</v>
      </c>
      <c r="X5" s="123">
        <v>300</v>
      </c>
      <c r="Y5" s="123">
        <v>300</v>
      </c>
      <c r="Z5" s="123">
        <v>220</v>
      </c>
      <c r="AA5" s="101">
        <v>240</v>
      </c>
    </row>
    <row r="6" spans="1:27" ht="16.5" thickBot="1">
      <c r="A6" s="88" t="s">
        <v>15</v>
      </c>
      <c r="B6" s="29">
        <v>0.7</v>
      </c>
      <c r="C6" s="90">
        <v>2.4</v>
      </c>
      <c r="D6" s="76"/>
      <c r="E6" s="95" t="s">
        <v>86</v>
      </c>
      <c r="F6" s="30" t="s">
        <v>122</v>
      </c>
      <c r="G6" s="87" t="s">
        <v>123</v>
      </c>
      <c r="I6" s="34" t="s">
        <v>114</v>
      </c>
      <c r="J6" s="35">
        <v>0.5</v>
      </c>
      <c r="K6" s="35">
        <v>0.5</v>
      </c>
      <c r="L6" s="35">
        <v>0.3</v>
      </c>
      <c r="M6" s="35">
        <v>0.5</v>
      </c>
      <c r="N6" s="36">
        <v>1</v>
      </c>
      <c r="P6" s="104" t="s">
        <v>172</v>
      </c>
      <c r="Q6" s="118">
        <v>330</v>
      </c>
      <c r="R6" s="118">
        <v>330</v>
      </c>
      <c r="S6" s="119">
        <v>330</v>
      </c>
      <c r="T6" s="119">
        <v>330</v>
      </c>
      <c r="U6" s="119">
        <v>220</v>
      </c>
      <c r="V6" s="119">
        <v>220</v>
      </c>
      <c r="W6" s="119">
        <v>220</v>
      </c>
      <c r="X6" s="119">
        <v>270</v>
      </c>
      <c r="Y6" s="119">
        <v>270</v>
      </c>
      <c r="Z6" s="119">
        <v>205</v>
      </c>
      <c r="AA6" s="103">
        <v>220</v>
      </c>
    </row>
    <row r="7" spans="1:27" ht="15.75">
      <c r="A7" s="88" t="s">
        <v>16</v>
      </c>
      <c r="B7" s="29">
        <v>0.6</v>
      </c>
      <c r="C7" s="90">
        <v>3</v>
      </c>
      <c r="D7" s="76"/>
      <c r="E7" s="95" t="s">
        <v>62</v>
      </c>
      <c r="F7" s="30">
        <v>3</v>
      </c>
      <c r="G7" s="87">
        <f>2*F7</f>
        <v>6</v>
      </c>
      <c r="I7" s="513" t="s">
        <v>124</v>
      </c>
      <c r="J7" s="501"/>
      <c r="K7" s="501"/>
      <c r="L7" s="501"/>
      <c r="M7" s="501"/>
      <c r="N7" s="502"/>
      <c r="P7" s="104" t="s">
        <v>16</v>
      </c>
      <c r="Q7" s="118">
        <v>300</v>
      </c>
      <c r="R7" s="118">
        <v>300</v>
      </c>
      <c r="S7" s="118">
        <v>300</v>
      </c>
      <c r="T7" s="118">
        <v>300</v>
      </c>
      <c r="U7" s="118">
        <v>200</v>
      </c>
      <c r="V7" s="118">
        <v>200</v>
      </c>
      <c r="W7" s="118">
        <v>200</v>
      </c>
      <c r="X7" s="118">
        <v>240</v>
      </c>
      <c r="Y7" s="118">
        <v>240</v>
      </c>
      <c r="Z7" s="118">
        <v>190</v>
      </c>
      <c r="AA7" s="103">
        <v>200</v>
      </c>
    </row>
    <row r="8" spans="1:27" ht="16.5" thickBot="1">
      <c r="A8" s="88" t="s">
        <v>17</v>
      </c>
      <c r="B8" s="29">
        <v>0.5</v>
      </c>
      <c r="C8" s="90">
        <v>2.8</v>
      </c>
      <c r="D8" s="76"/>
      <c r="E8" s="96" t="s">
        <v>88</v>
      </c>
      <c r="F8" s="97">
        <v>2</v>
      </c>
      <c r="G8" s="98">
        <f>2*F8</f>
        <v>4</v>
      </c>
      <c r="I8" s="75"/>
      <c r="J8" s="76"/>
      <c r="K8" s="76"/>
      <c r="L8" s="76"/>
      <c r="M8" s="76"/>
      <c r="N8" s="84"/>
      <c r="P8" s="113" t="s">
        <v>180</v>
      </c>
      <c r="Q8" s="126">
        <v>330</v>
      </c>
      <c r="R8" s="126">
        <v>330</v>
      </c>
      <c r="S8" s="127">
        <v>330</v>
      </c>
      <c r="T8" s="127">
        <v>330</v>
      </c>
      <c r="U8" s="127">
        <v>220</v>
      </c>
      <c r="V8" s="127">
        <v>220</v>
      </c>
      <c r="W8" s="127">
        <v>220</v>
      </c>
      <c r="X8" s="127">
        <v>270</v>
      </c>
      <c r="Y8" s="127">
        <v>270</v>
      </c>
      <c r="Z8" s="127">
        <v>205</v>
      </c>
      <c r="AA8" s="105">
        <v>220</v>
      </c>
    </row>
    <row r="9" spans="1:27" ht="15.75" thickBot="1">
      <c r="A9" s="85" t="s">
        <v>18</v>
      </c>
      <c r="B9" s="29">
        <v>0.4</v>
      </c>
      <c r="C9" s="90">
        <v>3</v>
      </c>
      <c r="D9" s="76"/>
      <c r="E9" s="500" t="s">
        <v>124</v>
      </c>
      <c r="F9" s="501"/>
      <c r="G9" s="502"/>
      <c r="I9" s="509" t="s">
        <v>115</v>
      </c>
      <c r="J9" s="510"/>
      <c r="K9" s="510"/>
      <c r="L9" s="510"/>
      <c r="M9" s="510"/>
      <c r="N9" s="511"/>
      <c r="P9" s="107" t="s">
        <v>185</v>
      </c>
      <c r="Q9" s="124">
        <v>160</v>
      </c>
      <c r="R9" s="124">
        <v>160</v>
      </c>
      <c r="S9" s="124">
        <v>160</v>
      </c>
      <c r="T9" s="124">
        <v>160</v>
      </c>
      <c r="U9" s="124">
        <v>110</v>
      </c>
      <c r="V9" s="124">
        <v>110</v>
      </c>
      <c r="W9" s="124">
        <v>110</v>
      </c>
      <c r="X9" s="124">
        <v>120</v>
      </c>
      <c r="Y9" s="124">
        <v>120</v>
      </c>
      <c r="Z9" s="124">
        <v>110</v>
      </c>
      <c r="AA9" s="125">
        <v>110</v>
      </c>
    </row>
    <row r="10" spans="1:27" ht="15">
      <c r="A10" s="88" t="s">
        <v>19</v>
      </c>
      <c r="B10" s="29">
        <v>0.55</v>
      </c>
      <c r="C10" s="90">
        <v>2.2</v>
      </c>
      <c r="D10" s="76"/>
      <c r="E10" s="76"/>
      <c r="F10" s="76"/>
      <c r="G10" s="84"/>
      <c r="I10" s="31" t="s">
        <v>105</v>
      </c>
      <c r="J10" s="81" t="s">
        <v>107</v>
      </c>
      <c r="K10" s="81" t="s">
        <v>108</v>
      </c>
      <c r="L10" s="81" t="s">
        <v>110</v>
      </c>
      <c r="M10" s="81" t="s">
        <v>68</v>
      </c>
      <c r="N10" s="82" t="s">
        <v>111</v>
      </c>
      <c r="P10" s="112" t="s">
        <v>19</v>
      </c>
      <c r="Q10" s="123">
        <v>260</v>
      </c>
      <c r="R10" s="123">
        <v>260</v>
      </c>
      <c r="S10" s="123">
        <v>260</v>
      </c>
      <c r="T10" s="123">
        <v>260</v>
      </c>
      <c r="U10" s="123">
        <v>160</v>
      </c>
      <c r="V10" s="123">
        <v>160</v>
      </c>
      <c r="W10" s="123">
        <v>160</v>
      </c>
      <c r="X10" s="123">
        <v>210</v>
      </c>
      <c r="Y10" s="123">
        <v>210</v>
      </c>
      <c r="Z10" s="123">
        <v>160</v>
      </c>
      <c r="AA10" s="101">
        <v>160</v>
      </c>
    </row>
    <row r="11" spans="1:27" ht="15">
      <c r="A11" s="88" t="s">
        <v>20</v>
      </c>
      <c r="B11" s="29">
        <v>0.45</v>
      </c>
      <c r="C11" s="90">
        <v>2.8</v>
      </c>
      <c r="D11" s="76"/>
      <c r="E11" s="76"/>
      <c r="F11" s="76"/>
      <c r="G11" s="84"/>
      <c r="I11" s="32" t="s">
        <v>112</v>
      </c>
      <c r="J11" s="80">
        <v>0.8</v>
      </c>
      <c r="K11" s="80">
        <v>0.9</v>
      </c>
      <c r="L11" s="80">
        <v>1</v>
      </c>
      <c r="M11" s="80">
        <v>1.5</v>
      </c>
      <c r="N11" s="33">
        <v>3</v>
      </c>
      <c r="P11" s="104" t="s">
        <v>181</v>
      </c>
      <c r="Q11" s="119">
        <v>210</v>
      </c>
      <c r="R11" s="119">
        <v>210</v>
      </c>
      <c r="S11" s="119">
        <v>210</v>
      </c>
      <c r="T11" s="119">
        <v>210</v>
      </c>
      <c r="U11" s="119">
        <v>135</v>
      </c>
      <c r="V11" s="119">
        <v>135</v>
      </c>
      <c r="W11" s="119">
        <v>135</v>
      </c>
      <c r="X11" s="119">
        <v>165</v>
      </c>
      <c r="Y11" s="119">
        <v>165</v>
      </c>
      <c r="Z11" s="119">
        <v>135</v>
      </c>
      <c r="AA11" s="103">
        <v>135</v>
      </c>
    </row>
    <row r="12" spans="1:27" ht="15">
      <c r="A12" s="88" t="s">
        <v>21</v>
      </c>
      <c r="B12" s="29">
        <v>0.23</v>
      </c>
      <c r="C12" s="90">
        <v>3.4</v>
      </c>
      <c r="D12" s="76"/>
      <c r="E12" s="76"/>
      <c r="F12" s="76"/>
      <c r="G12" s="84"/>
      <c r="I12" s="32" t="s">
        <v>113</v>
      </c>
      <c r="J12" s="80">
        <v>0.65</v>
      </c>
      <c r="K12" s="80">
        <v>0.75</v>
      </c>
      <c r="L12" s="80">
        <v>1</v>
      </c>
      <c r="M12" s="80">
        <v>1.5</v>
      </c>
      <c r="N12" s="33">
        <v>3</v>
      </c>
      <c r="P12" s="104" t="s">
        <v>21</v>
      </c>
      <c r="Q12" s="118">
        <v>160</v>
      </c>
      <c r="R12" s="118">
        <v>160</v>
      </c>
      <c r="S12" s="118">
        <v>160</v>
      </c>
      <c r="T12" s="118">
        <v>160</v>
      </c>
      <c r="U12" s="118">
        <v>110</v>
      </c>
      <c r="V12" s="118">
        <v>110</v>
      </c>
      <c r="W12" s="118">
        <v>110</v>
      </c>
      <c r="X12" s="118">
        <v>120</v>
      </c>
      <c r="Y12" s="118">
        <v>120</v>
      </c>
      <c r="Z12" s="118">
        <v>110</v>
      </c>
      <c r="AA12" s="103">
        <v>110</v>
      </c>
    </row>
    <row r="13" spans="1:27" ht="15.75" thickBot="1">
      <c r="A13" s="88" t="s">
        <v>22</v>
      </c>
      <c r="B13" s="29">
        <v>0.25</v>
      </c>
      <c r="C13" s="90">
        <v>3</v>
      </c>
      <c r="D13" s="76"/>
      <c r="E13" s="76"/>
      <c r="F13" s="76"/>
      <c r="G13" s="84"/>
      <c r="I13" s="34" t="s">
        <v>114</v>
      </c>
      <c r="J13" s="35">
        <v>0.5</v>
      </c>
      <c r="K13" s="35">
        <v>0.6</v>
      </c>
      <c r="L13" s="35">
        <v>1</v>
      </c>
      <c r="M13" s="35">
        <v>1.5</v>
      </c>
      <c r="N13" s="36">
        <v>3</v>
      </c>
      <c r="P13" s="113" t="s">
        <v>182</v>
      </c>
      <c r="Q13" s="127">
        <v>210</v>
      </c>
      <c r="R13" s="127">
        <v>210</v>
      </c>
      <c r="S13" s="127">
        <v>210</v>
      </c>
      <c r="T13" s="127">
        <v>210</v>
      </c>
      <c r="U13" s="127">
        <v>135</v>
      </c>
      <c r="V13" s="127">
        <v>135</v>
      </c>
      <c r="W13" s="127">
        <v>135</v>
      </c>
      <c r="X13" s="127">
        <v>165</v>
      </c>
      <c r="Y13" s="127">
        <v>165</v>
      </c>
      <c r="Z13" s="127">
        <v>135</v>
      </c>
      <c r="AA13" s="105">
        <v>135</v>
      </c>
    </row>
    <row r="14" spans="1:27" ht="15.75" thickBot="1">
      <c r="A14" s="85" t="s">
        <v>23</v>
      </c>
      <c r="B14" s="29">
        <v>0.2</v>
      </c>
      <c r="C14" s="90">
        <v>6</v>
      </c>
      <c r="D14" s="76"/>
      <c r="E14" s="76"/>
      <c r="F14" s="76"/>
      <c r="G14" s="84"/>
      <c r="I14" s="491" t="s">
        <v>124</v>
      </c>
      <c r="J14" s="492"/>
      <c r="K14" s="492"/>
      <c r="L14" s="492"/>
      <c r="M14" s="492"/>
      <c r="N14" s="512"/>
      <c r="P14" s="107" t="s">
        <v>186</v>
      </c>
      <c r="Q14" s="124">
        <v>110</v>
      </c>
      <c r="R14" s="124">
        <v>110</v>
      </c>
      <c r="S14" s="124">
        <v>110</v>
      </c>
      <c r="T14" s="124">
        <v>110</v>
      </c>
      <c r="U14" s="124">
        <v>100</v>
      </c>
      <c r="V14" s="124">
        <v>100</v>
      </c>
      <c r="W14" s="124">
        <v>100</v>
      </c>
      <c r="X14" s="124">
        <v>100</v>
      </c>
      <c r="Y14" s="124">
        <v>100</v>
      </c>
      <c r="Z14" s="124">
        <v>100</v>
      </c>
      <c r="AA14" s="125">
        <v>100</v>
      </c>
    </row>
    <row r="15" spans="1:27" ht="15.75" thickBot="1">
      <c r="A15" s="88" t="s">
        <v>24</v>
      </c>
      <c r="B15" s="29">
        <v>0.35</v>
      </c>
      <c r="C15" s="90">
        <v>2.4</v>
      </c>
      <c r="D15" s="76"/>
      <c r="E15" s="76"/>
      <c r="F15" s="76"/>
      <c r="G15" s="84"/>
      <c r="I15" s="75"/>
      <c r="J15" s="76"/>
      <c r="K15" s="76"/>
      <c r="L15" s="76"/>
      <c r="M15" s="76"/>
      <c r="N15" s="84"/>
      <c r="P15" s="112" t="s">
        <v>24</v>
      </c>
      <c r="Q15" s="123">
        <v>210</v>
      </c>
      <c r="R15" s="123">
        <v>210</v>
      </c>
      <c r="S15" s="123">
        <v>210</v>
      </c>
      <c r="T15" s="123">
        <v>210</v>
      </c>
      <c r="U15" s="123">
        <v>130</v>
      </c>
      <c r="V15" s="123">
        <v>130</v>
      </c>
      <c r="W15" s="123">
        <v>130</v>
      </c>
      <c r="X15" s="123">
        <v>160</v>
      </c>
      <c r="Y15" s="123">
        <v>160</v>
      </c>
      <c r="Z15" s="123">
        <v>140</v>
      </c>
      <c r="AA15" s="101">
        <v>130</v>
      </c>
    </row>
    <row r="16" spans="1:27" ht="15.75" thickBot="1">
      <c r="A16" s="88" t="s">
        <v>25</v>
      </c>
      <c r="B16" s="29">
        <v>0.3</v>
      </c>
      <c r="C16" s="90">
        <v>2.8</v>
      </c>
      <c r="D16" s="76"/>
      <c r="E16" s="76"/>
      <c r="F16" s="76"/>
      <c r="G16" s="84"/>
      <c r="I16" s="509" t="s">
        <v>104</v>
      </c>
      <c r="J16" s="511"/>
      <c r="K16" s="37"/>
      <c r="L16" s="76"/>
      <c r="M16" s="76"/>
      <c r="N16" s="84"/>
      <c r="P16" s="104" t="s">
        <v>183</v>
      </c>
      <c r="Q16" s="119">
        <v>160</v>
      </c>
      <c r="R16" s="106">
        <v>160</v>
      </c>
      <c r="S16" s="106">
        <v>160</v>
      </c>
      <c r="T16" s="119">
        <v>160</v>
      </c>
      <c r="U16" s="119">
        <v>115</v>
      </c>
      <c r="V16" s="119">
        <v>115</v>
      </c>
      <c r="W16" s="119">
        <v>115</v>
      </c>
      <c r="X16" s="119">
        <v>130</v>
      </c>
      <c r="Y16" s="119">
        <v>130</v>
      </c>
      <c r="Z16" s="119">
        <v>120</v>
      </c>
      <c r="AA16" s="103">
        <v>115</v>
      </c>
    </row>
    <row r="17" spans="1:27" ht="15">
      <c r="A17" s="88" t="s">
        <v>26</v>
      </c>
      <c r="B17" s="29">
        <v>0.22</v>
      </c>
      <c r="C17" s="90">
        <v>4</v>
      </c>
      <c r="D17" s="76"/>
      <c r="E17" s="76"/>
      <c r="F17" s="76"/>
      <c r="G17" s="84"/>
      <c r="I17" s="43" t="s">
        <v>105</v>
      </c>
      <c r="J17" s="44" t="s">
        <v>106</v>
      </c>
      <c r="K17" s="76"/>
      <c r="L17" s="76"/>
      <c r="M17" s="76"/>
      <c r="N17" s="84"/>
      <c r="P17" s="104" t="s">
        <v>26</v>
      </c>
      <c r="Q17" s="118">
        <v>110</v>
      </c>
      <c r="R17" s="118">
        <v>110</v>
      </c>
      <c r="S17" s="118">
        <v>110</v>
      </c>
      <c r="T17" s="118">
        <v>110</v>
      </c>
      <c r="U17" s="118">
        <v>100</v>
      </c>
      <c r="V17" s="118">
        <v>100</v>
      </c>
      <c r="W17" s="118">
        <v>100</v>
      </c>
      <c r="X17" s="118">
        <v>100</v>
      </c>
      <c r="Y17" s="118">
        <v>100</v>
      </c>
      <c r="Z17" s="118">
        <v>100</v>
      </c>
      <c r="AA17" s="103">
        <v>100</v>
      </c>
    </row>
    <row r="18" spans="1:27" ht="15.75" thickBot="1">
      <c r="A18" s="91" t="s">
        <v>27</v>
      </c>
      <c r="B18" s="92">
        <v>0.33</v>
      </c>
      <c r="C18" s="93">
        <v>3</v>
      </c>
      <c r="D18" s="76"/>
      <c r="E18" s="76"/>
      <c r="F18" s="76"/>
      <c r="G18" s="84"/>
      <c r="I18" s="32" t="s">
        <v>23</v>
      </c>
      <c r="J18" s="33">
        <v>120</v>
      </c>
      <c r="K18" s="76"/>
      <c r="L18" s="76"/>
      <c r="M18" s="76"/>
      <c r="N18" s="84"/>
      <c r="P18" s="114" t="s">
        <v>184</v>
      </c>
      <c r="Q18" s="121">
        <v>160</v>
      </c>
      <c r="R18" s="122">
        <v>160</v>
      </c>
      <c r="S18" s="122">
        <v>160</v>
      </c>
      <c r="T18" s="121">
        <v>160</v>
      </c>
      <c r="U18" s="121">
        <v>115</v>
      </c>
      <c r="V18" s="121">
        <v>115</v>
      </c>
      <c r="W18" s="121">
        <v>115</v>
      </c>
      <c r="X18" s="121">
        <v>130</v>
      </c>
      <c r="Y18" s="121">
        <v>130</v>
      </c>
      <c r="Z18" s="121">
        <v>120</v>
      </c>
      <c r="AA18" s="111">
        <v>115</v>
      </c>
    </row>
    <row r="19" spans="1:27" ht="15.75" thickBot="1">
      <c r="A19" s="491" t="s">
        <v>124</v>
      </c>
      <c r="B19" s="492"/>
      <c r="C19" s="493"/>
      <c r="D19" s="77"/>
      <c r="E19" s="77"/>
      <c r="F19" s="77"/>
      <c r="G19" s="78"/>
      <c r="I19" s="32" t="s">
        <v>21</v>
      </c>
      <c r="J19" s="33">
        <v>200</v>
      </c>
      <c r="K19" s="76"/>
      <c r="L19" s="76"/>
      <c r="M19" s="76"/>
      <c r="N19" s="84"/>
      <c r="P19" s="522" t="s">
        <v>124</v>
      </c>
      <c r="Q19" s="523"/>
      <c r="R19" s="523"/>
      <c r="S19" s="523"/>
      <c r="T19" s="523"/>
      <c r="U19" s="523"/>
      <c r="V19" s="523"/>
      <c r="W19" s="523"/>
      <c r="X19" s="523"/>
      <c r="Y19" s="523"/>
      <c r="Z19" s="523"/>
      <c r="AA19" s="524"/>
    </row>
    <row r="20" spans="9:27" ht="15">
      <c r="I20" s="32" t="s">
        <v>19</v>
      </c>
      <c r="J20" s="33">
        <v>250</v>
      </c>
      <c r="K20" s="76"/>
      <c r="L20" s="76"/>
      <c r="M20" s="76"/>
      <c r="N20" s="84"/>
      <c r="P20" s="522" t="s">
        <v>195</v>
      </c>
      <c r="Q20" s="523"/>
      <c r="R20" s="523"/>
      <c r="S20" s="523"/>
      <c r="T20" s="523"/>
      <c r="U20" s="523"/>
      <c r="V20" s="523"/>
      <c r="W20" s="523"/>
      <c r="X20" s="523"/>
      <c r="Y20" s="523"/>
      <c r="Z20" s="523"/>
      <c r="AA20" s="524"/>
    </row>
    <row r="21" spans="9:27" ht="15.75" thickBot="1">
      <c r="I21" s="34" t="s">
        <v>13</v>
      </c>
      <c r="J21" s="36">
        <v>400</v>
      </c>
      <c r="K21" s="76"/>
      <c r="L21" s="76"/>
      <c r="M21" s="76"/>
      <c r="N21" s="84"/>
      <c r="P21" s="513" t="s">
        <v>196</v>
      </c>
      <c r="Q21" s="501"/>
      <c r="R21" s="501"/>
      <c r="S21" s="501"/>
      <c r="T21" s="501"/>
      <c r="U21" s="501"/>
      <c r="V21" s="501"/>
      <c r="W21" s="501"/>
      <c r="X21" s="501"/>
      <c r="Y21" s="501"/>
      <c r="Z21" s="501"/>
      <c r="AA21" s="502"/>
    </row>
    <row r="22" spans="9:27" ht="15.75" thickBot="1">
      <c r="I22" s="491" t="s">
        <v>124</v>
      </c>
      <c r="J22" s="493"/>
      <c r="K22" s="77"/>
      <c r="L22" s="77"/>
      <c r="M22" s="77"/>
      <c r="N22" s="78"/>
      <c r="P22" s="75"/>
      <c r="Q22" s="76"/>
      <c r="R22" s="76"/>
      <c r="S22" s="76"/>
      <c r="T22" s="76"/>
      <c r="U22" s="76"/>
      <c r="V22" s="76"/>
      <c r="W22" s="76"/>
      <c r="X22" s="76"/>
      <c r="Y22" s="76"/>
      <c r="Z22" s="76"/>
      <c r="AA22" s="84"/>
    </row>
    <row r="23" spans="16:27" ht="15.75" thickBot="1">
      <c r="P23" s="509" t="s">
        <v>197</v>
      </c>
      <c r="Q23" s="511"/>
      <c r="R23" s="76"/>
      <c r="S23" s="115"/>
      <c r="T23" s="115"/>
      <c r="U23" s="115"/>
      <c r="V23" s="115"/>
      <c r="W23" s="115"/>
      <c r="X23" s="115"/>
      <c r="Y23" s="115"/>
      <c r="Z23" s="115"/>
      <c r="AA23" s="116"/>
    </row>
    <row r="24" spans="16:27" ht="15.75" thickBot="1">
      <c r="P24" s="99" t="s">
        <v>82</v>
      </c>
      <c r="Q24" s="100" t="s">
        <v>168</v>
      </c>
      <c r="R24" s="76"/>
      <c r="S24" s="115"/>
      <c r="T24" s="115"/>
      <c r="U24" s="115"/>
      <c r="V24" s="115"/>
      <c r="W24" s="115"/>
      <c r="X24" s="115"/>
      <c r="Y24" s="115"/>
      <c r="Z24" s="115"/>
      <c r="AA24" s="116"/>
    </row>
    <row r="25" spans="16:27" ht="15">
      <c r="P25" s="108" t="s">
        <v>198</v>
      </c>
      <c r="Q25" s="109">
        <v>4</v>
      </c>
      <c r="R25" s="76"/>
      <c r="S25" s="115"/>
      <c r="T25" s="115"/>
      <c r="U25" s="115"/>
      <c r="V25" s="115"/>
      <c r="W25" s="115"/>
      <c r="X25" s="115"/>
      <c r="Y25" s="115"/>
      <c r="Z25" s="115"/>
      <c r="AA25" s="116"/>
    </row>
    <row r="26" spans="16:27" ht="15">
      <c r="P26" s="102" t="s">
        <v>199</v>
      </c>
      <c r="Q26" s="103">
        <v>4</v>
      </c>
      <c r="R26" s="76"/>
      <c r="S26" s="115"/>
      <c r="T26" s="115"/>
      <c r="U26" s="115"/>
      <c r="V26" s="115"/>
      <c r="W26" s="115"/>
      <c r="X26" s="115"/>
      <c r="Y26" s="115"/>
      <c r="Z26" s="115"/>
      <c r="AA26" s="116"/>
    </row>
    <row r="27" spans="16:27" ht="15">
      <c r="P27" s="102" t="s">
        <v>200</v>
      </c>
      <c r="Q27" s="103">
        <v>4</v>
      </c>
      <c r="R27" s="76"/>
      <c r="S27" s="115"/>
      <c r="T27" s="115"/>
      <c r="U27" s="115"/>
      <c r="V27" s="115"/>
      <c r="W27" s="115"/>
      <c r="X27" s="115"/>
      <c r="Y27" s="115"/>
      <c r="Z27" s="115"/>
      <c r="AA27" s="116"/>
    </row>
    <row r="28" spans="16:27" ht="15">
      <c r="P28" s="104" t="s">
        <v>85</v>
      </c>
      <c r="Q28" s="103">
        <v>4</v>
      </c>
      <c r="R28" s="76"/>
      <c r="S28" s="115"/>
      <c r="T28" s="115"/>
      <c r="U28" s="115"/>
      <c r="V28" s="115"/>
      <c r="W28" s="115"/>
      <c r="X28" s="115"/>
      <c r="Y28" s="115"/>
      <c r="Z28" s="115"/>
      <c r="AA28" s="116"/>
    </row>
    <row r="29" spans="16:27" ht="15">
      <c r="P29" s="102" t="s">
        <v>201</v>
      </c>
      <c r="Q29" s="103">
        <v>4</v>
      </c>
      <c r="R29" s="76"/>
      <c r="S29" s="117"/>
      <c r="T29" s="115"/>
      <c r="U29" s="117"/>
      <c r="V29" s="117"/>
      <c r="W29" s="117"/>
      <c r="X29" s="117"/>
      <c r="Y29" s="117"/>
      <c r="Z29" s="117"/>
      <c r="AA29" s="79"/>
    </row>
    <row r="30" spans="16:27" ht="15">
      <c r="P30" s="102" t="s">
        <v>62</v>
      </c>
      <c r="Q30" s="103">
        <v>4</v>
      </c>
      <c r="R30" s="76"/>
      <c r="S30" s="76"/>
      <c r="T30" s="76"/>
      <c r="U30" s="76"/>
      <c r="V30" s="76"/>
      <c r="W30" s="76"/>
      <c r="X30" s="76"/>
      <c r="Y30" s="76"/>
      <c r="Z30" s="76"/>
      <c r="AA30" s="84"/>
    </row>
    <row r="31" spans="16:27" ht="15">
      <c r="P31" s="102" t="s">
        <v>202</v>
      </c>
      <c r="Q31" s="103">
        <v>4</v>
      </c>
      <c r="R31" s="76"/>
      <c r="S31" s="76"/>
      <c r="T31" s="76"/>
      <c r="U31" s="76"/>
      <c r="V31" s="76"/>
      <c r="W31" s="76"/>
      <c r="X31" s="76"/>
      <c r="Y31" s="76"/>
      <c r="Z31" s="76"/>
      <c r="AA31" s="84"/>
    </row>
    <row r="32" spans="16:27" ht="15">
      <c r="P32" s="102" t="s">
        <v>203</v>
      </c>
      <c r="Q32" s="103">
        <v>5</v>
      </c>
      <c r="R32" s="76"/>
      <c r="S32" s="76"/>
      <c r="T32" s="76"/>
      <c r="U32" s="76"/>
      <c r="V32" s="76"/>
      <c r="W32" s="76"/>
      <c r="X32" s="76"/>
      <c r="Y32" s="76"/>
      <c r="Z32" s="76"/>
      <c r="AA32" s="84"/>
    </row>
    <row r="33" spans="16:27" ht="15">
      <c r="P33" s="102" t="s">
        <v>66</v>
      </c>
      <c r="Q33" s="103">
        <v>5</v>
      </c>
      <c r="R33" s="76"/>
      <c r="S33" s="76"/>
      <c r="T33" s="76"/>
      <c r="U33" s="76"/>
      <c r="V33" s="76"/>
      <c r="W33" s="76"/>
      <c r="X33" s="76"/>
      <c r="Y33" s="76"/>
      <c r="Z33" s="76"/>
      <c r="AA33" s="84"/>
    </row>
    <row r="34" spans="16:27" ht="15">
      <c r="P34" s="102" t="s">
        <v>68</v>
      </c>
      <c r="Q34" s="103">
        <v>6</v>
      </c>
      <c r="R34" s="76"/>
      <c r="S34" s="76"/>
      <c r="T34" s="76"/>
      <c r="U34" s="76"/>
      <c r="V34" s="76"/>
      <c r="W34" s="76"/>
      <c r="X34" s="76"/>
      <c r="Y34" s="76"/>
      <c r="Z34" s="76"/>
      <c r="AA34" s="84"/>
    </row>
    <row r="35" spans="16:27" ht="15.75" thickBot="1">
      <c r="P35" s="110" t="s">
        <v>204</v>
      </c>
      <c r="Q35" s="111">
        <v>4</v>
      </c>
      <c r="R35" s="76"/>
      <c r="S35" s="76"/>
      <c r="T35" s="76"/>
      <c r="U35" s="76"/>
      <c r="V35" s="76"/>
      <c r="W35" s="76"/>
      <c r="X35" s="76"/>
      <c r="Y35" s="76"/>
      <c r="Z35" s="76"/>
      <c r="AA35" s="84"/>
    </row>
    <row r="36" spans="16:27" ht="15.75" thickBot="1">
      <c r="P36" s="517" t="s">
        <v>124</v>
      </c>
      <c r="Q36" s="518"/>
      <c r="R36" s="77"/>
      <c r="S36" s="77"/>
      <c r="T36" s="77"/>
      <c r="U36" s="77"/>
      <c r="V36" s="77"/>
      <c r="W36" s="77"/>
      <c r="X36" s="77"/>
      <c r="Y36" s="77"/>
      <c r="Z36" s="77"/>
      <c r="AA36" s="78"/>
    </row>
  </sheetData>
  <sheetProtection selectLockedCells="1" selectUnlockedCells="1"/>
  <mergeCells count="19">
    <mergeCell ref="P23:Q23"/>
    <mergeCell ref="P36:Q36"/>
    <mergeCell ref="P2:AA2"/>
    <mergeCell ref="P20:AA20"/>
    <mergeCell ref="P21:AA21"/>
    <mergeCell ref="P19:AA19"/>
    <mergeCell ref="I1:N1"/>
    <mergeCell ref="I9:N9"/>
    <mergeCell ref="P1:AA1"/>
    <mergeCell ref="I14:N14"/>
    <mergeCell ref="I22:J22"/>
    <mergeCell ref="I7:N7"/>
    <mergeCell ref="I16:J16"/>
    <mergeCell ref="I2:N2"/>
    <mergeCell ref="A19:C19"/>
    <mergeCell ref="A1:G1"/>
    <mergeCell ref="A2:C2"/>
    <mergeCell ref="E9:G9"/>
    <mergeCell ref="E2:G2"/>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Capacidade de Carga</dc:title>
  <dc:subject/>
  <dc:creator/>
  <cp:keywords/>
  <dc:description>Desenvolvida por Tobias Ribeiro Ferreira</dc:description>
  <cp:lastModifiedBy/>
  <dcterms:created xsi:type="dcterms:W3CDTF">2006-09-25T12:47:36Z</dcterms:created>
  <dcterms:modified xsi:type="dcterms:W3CDTF">2016-09-02T17:37:05Z</dcterms:modified>
  <cp:category/>
  <cp:version/>
  <cp:contentType/>
  <cp:contentStatus/>
</cp:coreProperties>
</file>